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mc:AlternateContent xmlns:mc="http://schemas.openxmlformats.org/markup-compatibility/2006">
    <mc:Choice Requires="x15">
      <x15ac:absPath xmlns:x15ac="http://schemas.microsoft.com/office/spreadsheetml/2010/11/ac" url="D:\Dropbox\OFFICE DATA\pk\Bothanzi Medicals Pvt Ltd\"/>
    </mc:Choice>
  </mc:AlternateContent>
  <xr:revisionPtr revIDLastSave="0" documentId="13_ncr:1_{59A146F9-A223-4E2F-AE5A-945FE7B308A1}" xr6:coauthVersionLast="47" xr6:coauthVersionMax="47" xr10:uidLastSave="{00000000-0000-0000-0000-000000000000}"/>
  <bookViews>
    <workbookView xWindow="-120" yWindow="-120" windowWidth="24240" windowHeight="13140" tabRatio="803" activeTab="9" xr2:uid="{00000000-000D-0000-FFFF-FFFF00000000}"/>
  </bookViews>
  <sheets>
    <sheet name="INTRO" sheetId="53" r:id="rId1"/>
    <sheet name="INPUT" sheetId="62" r:id="rId2"/>
    <sheet name="INTT &amp; REPAY" sheetId="51" r:id="rId3"/>
    <sheet name="DSCR" sheetId="26" r:id="rId4"/>
    <sheet name="Dep" sheetId="31" r:id="rId5"/>
    <sheet name="Oper.St." sheetId="60" r:id="rId6"/>
    <sheet name="Liab" sheetId="58" r:id="rId7"/>
    <sheet name="Asset" sheetId="59" r:id="rId8"/>
    <sheet name="CRA Validation" sheetId="67" r:id="rId9"/>
    <sheet name="Ratio New" sheetId="45" r:id="rId10"/>
    <sheet name="Fund Flow" sheetId="7" state="hidden" r:id="rId11"/>
    <sheet name="Synopsis" sheetId="46" r:id="rId12"/>
    <sheet name="ROCC" sheetId="54" r:id="rId13"/>
    <sheet name="Cash Flow" sheetId="47" r:id="rId14"/>
    <sheet name="Sensitivity" sheetId="28" r:id="rId15"/>
    <sheet name="SEASONAL" sheetId="68" r:id="rId16"/>
    <sheet name="LIMITS" sheetId="55" r:id="rId17"/>
    <sheet name="EPC-LC-BG" sheetId="63" r:id="rId18"/>
    <sheet name="CEL" sheetId="56" r:id="rId19"/>
    <sheet name="MISC" sheetId="65" r:id="rId20"/>
  </sheets>
  <externalReferences>
    <externalReference r:id="rId21"/>
  </externalReferences>
  <definedNames>
    <definedName name="_xlnm._FilterDatabase" localSheetId="9" hidden="1">'Ratio New'!$A$172:$O$227</definedName>
    <definedName name="_xlnm._FilterDatabase" localSheetId="15" hidden="1">SEASONAL!$A$1:$O$12</definedName>
    <definedName name="countries" localSheetId="2">'[1]BR-RNT'!$L$766:$M$952</definedName>
    <definedName name="countries">#REF!</definedName>
    <definedName name="listcountries" localSheetId="2">'[1]BR-RNT'!$L$766:$L$952</definedName>
    <definedName name="listcountries">#REF!</definedName>
    <definedName name="Months" localSheetId="2">'[1]CMA-CRA Input'!$U$12:$U$23</definedName>
    <definedName name="Month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4" i="60" l="1"/>
  <c r="G45" i="59"/>
  <c r="G28" i="58"/>
  <c r="F28" i="58"/>
  <c r="M34" i="58"/>
  <c r="K34" i="58"/>
  <c r="L34" i="58"/>
  <c r="J34" i="58"/>
  <c r="I34" i="58"/>
  <c r="H34" i="58"/>
  <c r="H65" i="58"/>
  <c r="I65" i="58"/>
  <c r="J65" i="58"/>
  <c r="K65" i="58"/>
  <c r="L65" i="58"/>
  <c r="M65" i="58"/>
  <c r="G65" i="58"/>
  <c r="G34" i="58"/>
  <c r="G93" i="60"/>
  <c r="F93" i="60"/>
  <c r="M67" i="60"/>
  <c r="L67" i="60"/>
  <c r="K67" i="60"/>
  <c r="J67" i="60"/>
  <c r="I67" i="60"/>
  <c r="H67" i="60"/>
  <c r="G67" i="60"/>
  <c r="J73" i="60"/>
  <c r="K73" i="60"/>
  <c r="L73" i="60"/>
  <c r="M73" i="60"/>
  <c r="I73" i="60"/>
  <c r="H73" i="60"/>
  <c r="G73" i="60"/>
  <c r="E3" i="31" l="1"/>
  <c r="J3" i="31" s="1"/>
  <c r="O3" i="31" s="1"/>
  <c r="Q3" i="31" s="1"/>
  <c r="S3" i="31" s="1"/>
  <c r="U3" i="31" s="1"/>
  <c r="D10" i="62"/>
  <c r="E10" i="62" s="1"/>
  <c r="F10" i="62" s="1"/>
  <c r="G10" i="62" s="1"/>
  <c r="H10" i="62" s="1"/>
  <c r="I10" i="62" s="1"/>
  <c r="J10" i="62" s="1"/>
  <c r="K10" i="62" s="1"/>
  <c r="L10" i="62" s="1"/>
  <c r="M10" i="62" s="1"/>
  <c r="N10" i="62" s="1"/>
  <c r="O10" i="62" s="1"/>
  <c r="P10" i="62" s="1"/>
  <c r="Q10" i="62" s="1"/>
  <c r="R10" i="62" s="1"/>
  <c r="S10" i="62" s="1"/>
  <c r="T10" i="62" s="1"/>
  <c r="U10" i="62" s="1"/>
  <c r="V10" i="62" s="1"/>
  <c r="C11" i="60"/>
  <c r="K3" i="31" l="1"/>
  <c r="F3" i="31"/>
  <c r="F36" i="62"/>
  <c r="F38" i="62"/>
  <c r="F42" i="62"/>
  <c r="F57" i="62"/>
  <c r="F59" i="62"/>
  <c r="F61" i="62"/>
  <c r="F62" i="62"/>
  <c r="F67" i="62"/>
  <c r="F68" i="62"/>
  <c r="F73" i="62"/>
  <c r="F200" i="62"/>
  <c r="F201" i="62"/>
  <c r="F202" i="62"/>
  <c r="F203" i="62"/>
  <c r="F204" i="62"/>
  <c r="G3" i="31" l="1"/>
  <c r="H3" i="31"/>
  <c r="C23" i="31" s="1"/>
  <c r="I3" i="31"/>
  <c r="C17" i="59"/>
  <c r="D17" i="59"/>
  <c r="E17" i="59"/>
  <c r="F17" i="59"/>
  <c r="G17" i="59"/>
  <c r="H17" i="59"/>
  <c r="I17" i="59"/>
  <c r="J17" i="59"/>
  <c r="K17" i="59"/>
  <c r="L17" i="59"/>
  <c r="M17" i="59"/>
  <c r="N17" i="59"/>
  <c r="O17" i="59"/>
  <c r="P17" i="59"/>
  <c r="Q17" i="59"/>
  <c r="R17" i="59"/>
  <c r="S17" i="59"/>
  <c r="T17" i="59"/>
  <c r="U17" i="59"/>
  <c r="V17" i="59"/>
  <c r="C24" i="59"/>
  <c r="D24" i="59"/>
  <c r="E24" i="59"/>
  <c r="F24" i="59"/>
  <c r="G24" i="59"/>
  <c r="G11" i="47" s="1"/>
  <c r="H24" i="59"/>
  <c r="H11" i="47" s="1"/>
  <c r="I24" i="59"/>
  <c r="J24" i="59"/>
  <c r="K24" i="59"/>
  <c r="J11" i="47" s="1"/>
  <c r="L24" i="59"/>
  <c r="M24" i="59"/>
  <c r="N24" i="59"/>
  <c r="N11" i="47" s="1"/>
  <c r="O24" i="59"/>
  <c r="P24" i="59"/>
  <c r="Q24" i="59"/>
  <c r="R24" i="59"/>
  <c r="R11" i="47"/>
  <c r="S24" i="59"/>
  <c r="T24" i="59"/>
  <c r="U24" i="59"/>
  <c r="V24" i="59"/>
  <c r="C33" i="59"/>
  <c r="D33" i="59"/>
  <c r="E33" i="59"/>
  <c r="F33" i="59"/>
  <c r="F40" i="59" s="1"/>
  <c r="G33" i="59"/>
  <c r="H33" i="59"/>
  <c r="I33" i="59"/>
  <c r="J33" i="59"/>
  <c r="K33" i="59"/>
  <c r="L33" i="59"/>
  <c r="M33" i="59"/>
  <c r="N33" i="59"/>
  <c r="O33" i="59"/>
  <c r="P33" i="59"/>
  <c r="Q33" i="59"/>
  <c r="R33" i="59"/>
  <c r="S33" i="59"/>
  <c r="T33" i="59"/>
  <c r="U33" i="59"/>
  <c r="V33" i="59"/>
  <c r="C34" i="59"/>
  <c r="D34" i="59"/>
  <c r="E34" i="59"/>
  <c r="F34" i="59"/>
  <c r="G34" i="59"/>
  <c r="F145" i="67" s="1"/>
  <c r="H34" i="59"/>
  <c r="I34" i="59"/>
  <c r="J34" i="59"/>
  <c r="K34" i="59"/>
  <c r="L34" i="59"/>
  <c r="K145" i="67" s="1"/>
  <c r="M34" i="59"/>
  <c r="L146" i="45" s="1"/>
  <c r="N34" i="59"/>
  <c r="O34" i="59"/>
  <c r="P34" i="59"/>
  <c r="O145" i="67" s="1"/>
  <c r="Q34" i="59"/>
  <c r="P145" i="67" s="1"/>
  <c r="R34" i="59"/>
  <c r="S34" i="59"/>
  <c r="R145" i="67" s="1"/>
  <c r="T34" i="59"/>
  <c r="U34" i="59"/>
  <c r="T145" i="67" s="1"/>
  <c r="V34" i="59"/>
  <c r="C35" i="59"/>
  <c r="D35" i="59"/>
  <c r="E35" i="59"/>
  <c r="F35" i="59"/>
  <c r="G35" i="59"/>
  <c r="F147" i="67" s="1"/>
  <c r="H35" i="59"/>
  <c r="I35" i="59"/>
  <c r="H147" i="67" s="1"/>
  <c r="J35" i="59"/>
  <c r="I148" i="45" s="1"/>
  <c r="K35" i="59"/>
  <c r="L35" i="59"/>
  <c r="M35" i="59"/>
  <c r="L147" i="67" s="1"/>
  <c r="N35" i="59"/>
  <c r="O35" i="59"/>
  <c r="N147" i="67" s="1"/>
  <c r="P35" i="59"/>
  <c r="O147" i="67" s="1"/>
  <c r="Q35" i="59"/>
  <c r="R35" i="59"/>
  <c r="S35" i="59"/>
  <c r="T35" i="59"/>
  <c r="U35" i="59"/>
  <c r="T147" i="67" s="1"/>
  <c r="V35" i="59"/>
  <c r="C39" i="59"/>
  <c r="D39" i="59"/>
  <c r="E39" i="59"/>
  <c r="F39" i="59"/>
  <c r="G39" i="59"/>
  <c r="H39" i="59"/>
  <c r="I39" i="59"/>
  <c r="J39" i="59"/>
  <c r="K39" i="59"/>
  <c r="K40" i="59" s="1"/>
  <c r="L39" i="59"/>
  <c r="M39" i="59"/>
  <c r="N39" i="59"/>
  <c r="N40" i="59" s="1"/>
  <c r="O39" i="59"/>
  <c r="P39" i="59"/>
  <c r="Q39" i="59"/>
  <c r="R39" i="59"/>
  <c r="S39" i="59"/>
  <c r="T39" i="59"/>
  <c r="U39" i="59"/>
  <c r="U40" i="59" s="1"/>
  <c r="V39" i="59"/>
  <c r="C62" i="59"/>
  <c r="C64" i="59" s="1"/>
  <c r="C85" i="59"/>
  <c r="D85" i="59" s="1"/>
  <c r="B6" i="47"/>
  <c r="C6" i="47"/>
  <c r="D6" i="47"/>
  <c r="E6" i="47"/>
  <c r="F6" i="47"/>
  <c r="G6" i="47"/>
  <c r="H6" i="47"/>
  <c r="I6" i="47"/>
  <c r="J6" i="47"/>
  <c r="K6" i="47"/>
  <c r="L6" i="47"/>
  <c r="M6" i="47"/>
  <c r="N6" i="47"/>
  <c r="O6" i="47"/>
  <c r="P6" i="47"/>
  <c r="Q6" i="47"/>
  <c r="R6" i="47"/>
  <c r="S6" i="47"/>
  <c r="T6" i="47"/>
  <c r="U6" i="47"/>
  <c r="B7" i="47"/>
  <c r="C7" i="47"/>
  <c r="D7" i="47"/>
  <c r="E7" i="47"/>
  <c r="F7" i="47"/>
  <c r="G7" i="47"/>
  <c r="H7" i="47"/>
  <c r="I7" i="47"/>
  <c r="J7" i="47"/>
  <c r="K7" i="47"/>
  <c r="L7" i="47"/>
  <c r="M7" i="47"/>
  <c r="N7" i="47"/>
  <c r="O7" i="47"/>
  <c r="P7" i="47"/>
  <c r="Q7" i="47"/>
  <c r="R7" i="47"/>
  <c r="S7" i="47"/>
  <c r="T7" i="47"/>
  <c r="U7" i="47"/>
  <c r="O11" i="47"/>
  <c r="P11" i="47"/>
  <c r="S11" i="47"/>
  <c r="C13" i="47"/>
  <c r="D13" i="47"/>
  <c r="E13" i="47"/>
  <c r="F13" i="47"/>
  <c r="N13" i="47"/>
  <c r="O13" i="47"/>
  <c r="P13" i="47"/>
  <c r="Q13" i="47"/>
  <c r="R13" i="47"/>
  <c r="S13" i="47"/>
  <c r="T13" i="47"/>
  <c r="U13" i="47"/>
  <c r="C14" i="47"/>
  <c r="D14" i="47"/>
  <c r="E14" i="47"/>
  <c r="F14" i="47"/>
  <c r="G14" i="47"/>
  <c r="H14" i="47"/>
  <c r="I14" i="47"/>
  <c r="J14" i="47"/>
  <c r="K14" i="47"/>
  <c r="L14" i="47"/>
  <c r="M14" i="47"/>
  <c r="N14" i="47"/>
  <c r="O14" i="47"/>
  <c r="P14" i="47"/>
  <c r="Q14" i="47"/>
  <c r="R14" i="47"/>
  <c r="S14" i="47"/>
  <c r="T14" i="47"/>
  <c r="U14" i="47"/>
  <c r="C15" i="47"/>
  <c r="D15" i="47"/>
  <c r="E15" i="47"/>
  <c r="F15" i="47"/>
  <c r="G15" i="47"/>
  <c r="H15" i="47"/>
  <c r="I15" i="47"/>
  <c r="J15" i="47"/>
  <c r="K15" i="47"/>
  <c r="L15" i="47"/>
  <c r="M15" i="47"/>
  <c r="N15" i="47"/>
  <c r="O15" i="47"/>
  <c r="P15" i="47"/>
  <c r="Q15" i="47"/>
  <c r="R15" i="47"/>
  <c r="S15" i="47"/>
  <c r="T15" i="47"/>
  <c r="U15" i="47"/>
  <c r="C16" i="47"/>
  <c r="D16" i="47"/>
  <c r="E16" i="47"/>
  <c r="F16" i="47"/>
  <c r="N16" i="47"/>
  <c r="O16" i="47"/>
  <c r="P16" i="47"/>
  <c r="Q16" i="47"/>
  <c r="R16" i="47"/>
  <c r="S16" i="47"/>
  <c r="T16" i="47"/>
  <c r="U16" i="47"/>
  <c r="C17" i="47"/>
  <c r="D17" i="47"/>
  <c r="E17" i="47"/>
  <c r="F17" i="47"/>
  <c r="G17" i="47"/>
  <c r="H17" i="47"/>
  <c r="I17" i="47"/>
  <c r="J17" i="47"/>
  <c r="K17" i="47"/>
  <c r="L17" i="47"/>
  <c r="M17" i="47"/>
  <c r="N17" i="47"/>
  <c r="O17" i="47"/>
  <c r="P17" i="47"/>
  <c r="Q17" i="47"/>
  <c r="R17" i="47"/>
  <c r="S17" i="47"/>
  <c r="T17" i="47"/>
  <c r="U17" i="47"/>
  <c r="M20" i="47"/>
  <c r="N20" i="47"/>
  <c r="O20" i="47"/>
  <c r="P20" i="47"/>
  <c r="Q20" i="47"/>
  <c r="R20" i="47"/>
  <c r="S20" i="47"/>
  <c r="T20" i="47"/>
  <c r="U20" i="47"/>
  <c r="C24" i="47"/>
  <c r="D24" i="47"/>
  <c r="E24" i="47"/>
  <c r="F24" i="47"/>
  <c r="G24" i="47"/>
  <c r="H24" i="47"/>
  <c r="I24" i="47"/>
  <c r="J24" i="47"/>
  <c r="K24" i="47"/>
  <c r="L24" i="47"/>
  <c r="M24" i="47"/>
  <c r="N24" i="47"/>
  <c r="O24" i="47"/>
  <c r="P24" i="47"/>
  <c r="Q24" i="47"/>
  <c r="R24" i="47"/>
  <c r="S24" i="47"/>
  <c r="T24" i="47"/>
  <c r="U24" i="47"/>
  <c r="C25" i="47"/>
  <c r="D25" i="47"/>
  <c r="E25" i="47"/>
  <c r="F25" i="47"/>
  <c r="G25" i="47"/>
  <c r="H25" i="47"/>
  <c r="I25" i="47"/>
  <c r="J25" i="47"/>
  <c r="K25" i="47"/>
  <c r="L25" i="47"/>
  <c r="M25" i="47"/>
  <c r="N25" i="47"/>
  <c r="O25" i="47"/>
  <c r="P25" i="47"/>
  <c r="Q25" i="47"/>
  <c r="R25" i="47"/>
  <c r="S25" i="47"/>
  <c r="T25" i="47"/>
  <c r="U25" i="47"/>
  <c r="C26" i="47"/>
  <c r="D26" i="47"/>
  <c r="E26" i="47"/>
  <c r="F26" i="47"/>
  <c r="G26" i="47"/>
  <c r="H26" i="47"/>
  <c r="I26" i="47"/>
  <c r="J26" i="47"/>
  <c r="K26" i="47"/>
  <c r="L26" i="47"/>
  <c r="M26" i="47"/>
  <c r="N26" i="47"/>
  <c r="O26" i="47"/>
  <c r="P26" i="47"/>
  <c r="Q26" i="47"/>
  <c r="R26" i="47"/>
  <c r="S26" i="47"/>
  <c r="T26" i="47"/>
  <c r="U26" i="47"/>
  <c r="C27" i="47"/>
  <c r="D27" i="47"/>
  <c r="E27" i="47"/>
  <c r="F27" i="47"/>
  <c r="G27" i="47"/>
  <c r="H27" i="47"/>
  <c r="I27" i="47"/>
  <c r="J27" i="47"/>
  <c r="K27" i="47"/>
  <c r="L27" i="47"/>
  <c r="M27" i="47"/>
  <c r="N27" i="47"/>
  <c r="O27" i="47"/>
  <c r="P27" i="47"/>
  <c r="Q27" i="47"/>
  <c r="R27" i="47"/>
  <c r="S27" i="47"/>
  <c r="T27" i="47"/>
  <c r="U27" i="47"/>
  <c r="C28" i="47"/>
  <c r="D28" i="47"/>
  <c r="E28" i="47"/>
  <c r="F28" i="47"/>
  <c r="G28" i="47"/>
  <c r="H28" i="47"/>
  <c r="I28" i="47"/>
  <c r="J28" i="47"/>
  <c r="K28" i="47"/>
  <c r="L28" i="47"/>
  <c r="M28" i="47"/>
  <c r="N28" i="47"/>
  <c r="O28" i="47"/>
  <c r="P28" i="47"/>
  <c r="Q28" i="47"/>
  <c r="R28" i="47"/>
  <c r="S28" i="47"/>
  <c r="T28" i="47"/>
  <c r="U28" i="47"/>
  <c r="C35" i="47"/>
  <c r="D35" i="47"/>
  <c r="E35" i="47"/>
  <c r="F35" i="47"/>
  <c r="G35" i="47"/>
  <c r="H35" i="47"/>
  <c r="I35" i="47"/>
  <c r="J35" i="47"/>
  <c r="K35" i="47"/>
  <c r="L35" i="47"/>
  <c r="M35" i="47"/>
  <c r="N35" i="47"/>
  <c r="O35" i="47"/>
  <c r="P35" i="47"/>
  <c r="Q35" i="47"/>
  <c r="R35" i="47"/>
  <c r="S35" i="47"/>
  <c r="T35" i="47"/>
  <c r="U35" i="47"/>
  <c r="C36" i="47"/>
  <c r="D36" i="47"/>
  <c r="E36" i="47"/>
  <c r="F36" i="47"/>
  <c r="G36" i="47"/>
  <c r="H36" i="47"/>
  <c r="I36" i="47"/>
  <c r="J36" i="47"/>
  <c r="K36" i="47"/>
  <c r="L36" i="47"/>
  <c r="M36" i="47"/>
  <c r="N36" i="47"/>
  <c r="O36" i="47"/>
  <c r="P36" i="47"/>
  <c r="Q36" i="47"/>
  <c r="R36" i="47"/>
  <c r="S36" i="47"/>
  <c r="T36" i="47"/>
  <c r="U36" i="47"/>
  <c r="C37" i="47"/>
  <c r="D37" i="47"/>
  <c r="E37" i="47"/>
  <c r="F37" i="47"/>
  <c r="G37" i="47"/>
  <c r="H37" i="47"/>
  <c r="I37" i="47"/>
  <c r="J37" i="47"/>
  <c r="K37" i="47"/>
  <c r="L37" i="47"/>
  <c r="M37" i="47"/>
  <c r="N37" i="47"/>
  <c r="O37" i="47"/>
  <c r="P37" i="47"/>
  <c r="Q37" i="47"/>
  <c r="R37" i="47"/>
  <c r="S37" i="47"/>
  <c r="T37" i="47"/>
  <c r="U37" i="47"/>
  <c r="C39" i="47"/>
  <c r="D39" i="47"/>
  <c r="E39" i="47"/>
  <c r="F39" i="47"/>
  <c r="G39" i="47"/>
  <c r="H39" i="47"/>
  <c r="I39" i="47"/>
  <c r="J39" i="47"/>
  <c r="K39" i="47"/>
  <c r="L39" i="47"/>
  <c r="M39" i="47"/>
  <c r="N39" i="47"/>
  <c r="O39" i="47"/>
  <c r="P39" i="47"/>
  <c r="Q39" i="47"/>
  <c r="R39" i="47"/>
  <c r="S39" i="47"/>
  <c r="T39" i="47"/>
  <c r="U39" i="47"/>
  <c r="B41" i="47"/>
  <c r="B43" i="47" s="1"/>
  <c r="C41" i="47"/>
  <c r="D41" i="47"/>
  <c r="E41" i="47"/>
  <c r="F41" i="47"/>
  <c r="G41" i="47"/>
  <c r="H41" i="47"/>
  <c r="I41" i="47"/>
  <c r="J41" i="47"/>
  <c r="K41" i="47"/>
  <c r="L41" i="47"/>
  <c r="M41" i="47"/>
  <c r="N41" i="47"/>
  <c r="O41" i="47"/>
  <c r="P41" i="47"/>
  <c r="Q41" i="47"/>
  <c r="R41" i="47"/>
  <c r="S41" i="47"/>
  <c r="T41" i="47"/>
  <c r="U41" i="47"/>
  <c r="B42" i="47"/>
  <c r="C42" i="47"/>
  <c r="D42" i="47"/>
  <c r="E42" i="47"/>
  <c r="F42" i="47"/>
  <c r="G42" i="47"/>
  <c r="H42" i="47"/>
  <c r="I42" i="47"/>
  <c r="J42" i="47"/>
  <c r="K42" i="47"/>
  <c r="L42" i="47"/>
  <c r="M42" i="47"/>
  <c r="N42" i="47"/>
  <c r="O42" i="47"/>
  <c r="P42" i="47"/>
  <c r="Q42" i="47"/>
  <c r="R42" i="47"/>
  <c r="S42" i="47"/>
  <c r="T42" i="47"/>
  <c r="U42" i="47"/>
  <c r="B49" i="47"/>
  <c r="C49" i="47"/>
  <c r="D49" i="47"/>
  <c r="E49" i="47"/>
  <c r="F49" i="47"/>
  <c r="G49" i="47"/>
  <c r="H49" i="47"/>
  <c r="I49" i="47"/>
  <c r="J49" i="47"/>
  <c r="K49" i="47"/>
  <c r="L49" i="47"/>
  <c r="M49" i="47"/>
  <c r="N49" i="47"/>
  <c r="O49" i="47"/>
  <c r="P49" i="47"/>
  <c r="Q49" i="47"/>
  <c r="R49" i="47"/>
  <c r="S49" i="47"/>
  <c r="T49" i="47"/>
  <c r="U49" i="47"/>
  <c r="D4" i="56"/>
  <c r="D5" i="56"/>
  <c r="D6" i="56"/>
  <c r="B7" i="56"/>
  <c r="C7" i="56"/>
  <c r="D7" i="56"/>
  <c r="B8" i="56"/>
  <c r="B9" i="56" s="1"/>
  <c r="C8" i="56"/>
  <c r="B11" i="56"/>
  <c r="B12" i="56" s="1"/>
  <c r="B19" i="56"/>
  <c r="D20" i="56"/>
  <c r="D42" i="56"/>
  <c r="B27" i="56"/>
  <c r="D28" i="56" s="1"/>
  <c r="D43" i="56" s="1"/>
  <c r="C27" i="56"/>
  <c r="D27" i="56"/>
  <c r="B34" i="56"/>
  <c r="D35" i="56" s="1"/>
  <c r="D44" i="56" s="1"/>
  <c r="C34" i="56"/>
  <c r="D34" i="56"/>
  <c r="C2" i="67"/>
  <c r="C224" i="67" s="1"/>
  <c r="B6" i="67"/>
  <c r="B228" i="67" s="1"/>
  <c r="C6" i="67"/>
  <c r="D6" i="67"/>
  <c r="E6" i="67"/>
  <c r="F6" i="67"/>
  <c r="G6" i="67"/>
  <c r="H6" i="67"/>
  <c r="I6" i="67"/>
  <c r="J6" i="67"/>
  <c r="K6" i="67"/>
  <c r="L6" i="67"/>
  <c r="M6" i="67"/>
  <c r="N6" i="67"/>
  <c r="O6" i="67"/>
  <c r="P6" i="67"/>
  <c r="Q6" i="67"/>
  <c r="R6" i="67"/>
  <c r="S6" i="67"/>
  <c r="T6" i="67"/>
  <c r="U6" i="67"/>
  <c r="B8" i="67"/>
  <c r="B230" i="67" s="1"/>
  <c r="C8" i="67"/>
  <c r="C230" i="67" s="1"/>
  <c r="D8" i="67"/>
  <c r="D230" i="67" s="1"/>
  <c r="E8" i="67"/>
  <c r="E230" i="67" s="1"/>
  <c r="F8" i="67"/>
  <c r="F230" i="67" s="1"/>
  <c r="G8" i="67"/>
  <c r="H8" i="67"/>
  <c r="I8" i="67"/>
  <c r="I230" i="67" s="1"/>
  <c r="J8" i="67"/>
  <c r="K8" i="67"/>
  <c r="K230" i="67" s="1"/>
  <c r="L8" i="67"/>
  <c r="L230" i="67" s="1"/>
  <c r="M8" i="67"/>
  <c r="M230" i="67" s="1"/>
  <c r="N8" i="67"/>
  <c r="N230" i="67" s="1"/>
  <c r="O8" i="67"/>
  <c r="O230" i="67" s="1"/>
  <c r="P8" i="67"/>
  <c r="P230" i="67" s="1"/>
  <c r="Q8" i="67"/>
  <c r="Q230" i="67" s="1"/>
  <c r="R8" i="67"/>
  <c r="R230" i="67"/>
  <c r="S8" i="67"/>
  <c r="S230" i="67" s="1"/>
  <c r="T8" i="67"/>
  <c r="U8" i="67"/>
  <c r="U230" i="67" s="1"/>
  <c r="B9" i="67"/>
  <c r="C9" i="67"/>
  <c r="D9" i="67"/>
  <c r="D231" i="67" s="1"/>
  <c r="E9" i="67"/>
  <c r="E231" i="67" s="1"/>
  <c r="F9" i="67"/>
  <c r="F231" i="67" s="1"/>
  <c r="G9" i="67"/>
  <c r="G231" i="67" s="1"/>
  <c r="H9" i="67"/>
  <c r="I9" i="67"/>
  <c r="I231" i="67"/>
  <c r="J9" i="67"/>
  <c r="K9" i="67"/>
  <c r="L9" i="67"/>
  <c r="M9" i="67"/>
  <c r="M231" i="67" s="1"/>
  <c r="N9" i="67"/>
  <c r="O9" i="67"/>
  <c r="O231" i="67" s="1"/>
  <c r="P9" i="67"/>
  <c r="Q9" i="67"/>
  <c r="Q231" i="67" s="1"/>
  <c r="R9" i="67"/>
  <c r="R231" i="67" s="1"/>
  <c r="S9" i="67"/>
  <c r="S231" i="67" s="1"/>
  <c r="T9" i="67"/>
  <c r="T231" i="67" s="1"/>
  <c r="U9" i="67"/>
  <c r="U231" i="67" s="1"/>
  <c r="B10" i="67"/>
  <c r="C10" i="67"/>
  <c r="C232" i="67" s="1"/>
  <c r="D10" i="67"/>
  <c r="E10" i="67"/>
  <c r="E232" i="67"/>
  <c r="F10" i="67"/>
  <c r="F232" i="67" s="1"/>
  <c r="G10" i="67"/>
  <c r="H10" i="67"/>
  <c r="I10" i="67"/>
  <c r="I232" i="67" s="1"/>
  <c r="J10" i="67"/>
  <c r="K10" i="67"/>
  <c r="K232" i="67" s="1"/>
  <c r="L10" i="67"/>
  <c r="L232" i="67" s="1"/>
  <c r="M10" i="67"/>
  <c r="M232" i="67" s="1"/>
  <c r="N10" i="67"/>
  <c r="N232" i="67" s="1"/>
  <c r="O10" i="67"/>
  <c r="P10" i="67"/>
  <c r="P232" i="67" s="1"/>
  <c r="Q10" i="67"/>
  <c r="Q232" i="67" s="1"/>
  <c r="R10" i="67"/>
  <c r="R232" i="67" s="1"/>
  <c r="S10" i="67"/>
  <c r="S232" i="67" s="1"/>
  <c r="T10" i="67"/>
  <c r="U10" i="67"/>
  <c r="U232" i="67" s="1"/>
  <c r="B12" i="67"/>
  <c r="C12" i="67"/>
  <c r="D12" i="67"/>
  <c r="E12" i="67"/>
  <c r="E234" i="67" s="1"/>
  <c r="F12" i="67"/>
  <c r="G12" i="67"/>
  <c r="G234" i="67"/>
  <c r="H12" i="67"/>
  <c r="H234" i="67" s="1"/>
  <c r="I12" i="67"/>
  <c r="I234" i="67" s="1"/>
  <c r="J12" i="67"/>
  <c r="K12" i="67"/>
  <c r="K234" i="67" s="1"/>
  <c r="L12" i="67"/>
  <c r="M12" i="67"/>
  <c r="M234" i="67" s="1"/>
  <c r="N12" i="67"/>
  <c r="O12" i="67"/>
  <c r="O234" i="67" s="1"/>
  <c r="P12" i="67"/>
  <c r="P234" i="67" s="1"/>
  <c r="Q12" i="67"/>
  <c r="Q234" i="67"/>
  <c r="R12" i="67"/>
  <c r="R234" i="67" s="1"/>
  <c r="S12" i="67"/>
  <c r="S234" i="67" s="1"/>
  <c r="T12" i="67"/>
  <c r="U12" i="67"/>
  <c r="U234" i="67" s="1"/>
  <c r="B14" i="67"/>
  <c r="B236" i="67" s="1"/>
  <c r="C14" i="67"/>
  <c r="C236" i="67" s="1"/>
  <c r="D14" i="67"/>
  <c r="D236" i="67" s="1"/>
  <c r="E14" i="67"/>
  <c r="E236" i="67" s="1"/>
  <c r="F14" i="67"/>
  <c r="F236" i="67" s="1"/>
  <c r="G14" i="67"/>
  <c r="G236" i="67" s="1"/>
  <c r="H14" i="67"/>
  <c r="I14" i="67"/>
  <c r="I236" i="67" s="1"/>
  <c r="J14" i="67"/>
  <c r="K14" i="67"/>
  <c r="L14" i="67"/>
  <c r="M14" i="67"/>
  <c r="M236" i="67" s="1"/>
  <c r="N14" i="67"/>
  <c r="N236" i="67" s="1"/>
  <c r="O14" i="67"/>
  <c r="O236" i="67" s="1"/>
  <c r="P14" i="67"/>
  <c r="P236" i="67" s="1"/>
  <c r="Q14" i="67"/>
  <c r="Q236" i="67" s="1"/>
  <c r="R14" i="67"/>
  <c r="R236" i="67" s="1"/>
  <c r="S14" i="67"/>
  <c r="S236" i="67" s="1"/>
  <c r="T14" i="67"/>
  <c r="U14" i="67"/>
  <c r="U236" i="67"/>
  <c r="B16" i="67"/>
  <c r="B238" i="67" s="1"/>
  <c r="C16" i="67"/>
  <c r="D16" i="67"/>
  <c r="D238" i="67"/>
  <c r="E16" i="67"/>
  <c r="E238" i="67" s="1"/>
  <c r="F16" i="67"/>
  <c r="G16" i="67"/>
  <c r="G238" i="67" s="1"/>
  <c r="H16" i="67"/>
  <c r="H238" i="67" s="1"/>
  <c r="I16" i="67"/>
  <c r="I238" i="67" s="1"/>
  <c r="J16" i="67"/>
  <c r="J238" i="67" s="1"/>
  <c r="K16" i="67"/>
  <c r="K238" i="67" s="1"/>
  <c r="L16" i="67"/>
  <c r="L238" i="67" s="1"/>
  <c r="M16" i="67"/>
  <c r="M238" i="67" s="1"/>
  <c r="N16" i="67"/>
  <c r="O16" i="67"/>
  <c r="O238" i="67" s="1"/>
  <c r="P16" i="67"/>
  <c r="Q16" i="67"/>
  <c r="Q238" i="67" s="1"/>
  <c r="R16" i="67"/>
  <c r="S16" i="67"/>
  <c r="S238" i="67" s="1"/>
  <c r="T16" i="67"/>
  <c r="U16" i="67"/>
  <c r="U238" i="67" s="1"/>
  <c r="B17" i="67"/>
  <c r="B239" i="67" s="1"/>
  <c r="C17" i="67"/>
  <c r="C239" i="67" s="1"/>
  <c r="D17" i="67"/>
  <c r="E17" i="67"/>
  <c r="E239" i="67"/>
  <c r="F17" i="67"/>
  <c r="G17" i="67"/>
  <c r="G239" i="67" s="1"/>
  <c r="H17" i="67"/>
  <c r="I17" i="67"/>
  <c r="I239" i="67" s="1"/>
  <c r="J17" i="67"/>
  <c r="J239" i="67" s="1"/>
  <c r="K17" i="67"/>
  <c r="L17" i="67"/>
  <c r="M17" i="67"/>
  <c r="M239" i="67" s="1"/>
  <c r="N17" i="67"/>
  <c r="O17" i="67"/>
  <c r="O239" i="67" s="1"/>
  <c r="P17" i="67"/>
  <c r="P239" i="67" s="1"/>
  <c r="Q17" i="67"/>
  <c r="Q239" i="67" s="1"/>
  <c r="R17" i="67"/>
  <c r="R239" i="67" s="1"/>
  <c r="S17" i="67"/>
  <c r="T17" i="67"/>
  <c r="T239" i="67" s="1"/>
  <c r="U17" i="67"/>
  <c r="U239" i="67" s="1"/>
  <c r="B18" i="67"/>
  <c r="C18" i="67"/>
  <c r="D18" i="67"/>
  <c r="D240" i="67" s="1"/>
  <c r="E18" i="67"/>
  <c r="E240" i="67" s="1"/>
  <c r="F18" i="67"/>
  <c r="F240" i="67" s="1"/>
  <c r="G18" i="67"/>
  <c r="G240" i="67" s="1"/>
  <c r="H18" i="67"/>
  <c r="H240" i="67" s="1"/>
  <c r="I18" i="67"/>
  <c r="I240" i="67" s="1"/>
  <c r="J18" i="67"/>
  <c r="K18" i="67"/>
  <c r="L18" i="67"/>
  <c r="L240" i="67" s="1"/>
  <c r="M18" i="67"/>
  <c r="M240" i="67" s="1"/>
  <c r="N18" i="67"/>
  <c r="N240" i="67" s="1"/>
  <c r="O18" i="67"/>
  <c r="O240" i="67" s="1"/>
  <c r="P18" i="67"/>
  <c r="P240" i="67" s="1"/>
  <c r="Q18" i="67"/>
  <c r="Q240" i="67" s="1"/>
  <c r="R18" i="67"/>
  <c r="R240" i="67"/>
  <c r="S18" i="67"/>
  <c r="T18" i="67"/>
  <c r="U18" i="67"/>
  <c r="U240" i="67" s="1"/>
  <c r="B19" i="67"/>
  <c r="C19" i="67"/>
  <c r="C241" i="67" s="1"/>
  <c r="D19" i="67"/>
  <c r="E19" i="67"/>
  <c r="E241" i="67" s="1"/>
  <c r="F19" i="67"/>
  <c r="F241" i="67" s="1"/>
  <c r="G19" i="67"/>
  <c r="G241" i="67" s="1"/>
  <c r="H19" i="67"/>
  <c r="H241" i="67"/>
  <c r="I19" i="67"/>
  <c r="I241" i="67" s="1"/>
  <c r="J19" i="67"/>
  <c r="J241" i="67" s="1"/>
  <c r="K19" i="67"/>
  <c r="K241" i="67" s="1"/>
  <c r="L19" i="67"/>
  <c r="L241" i="67" s="1"/>
  <c r="M19" i="67"/>
  <c r="M241" i="67" s="1"/>
  <c r="N19" i="67"/>
  <c r="N241" i="67" s="1"/>
  <c r="O19" i="67"/>
  <c r="O241" i="67" s="1"/>
  <c r="P19" i="67"/>
  <c r="P241" i="67" s="1"/>
  <c r="Q19" i="67"/>
  <c r="Q241" i="67" s="1"/>
  <c r="R19" i="67"/>
  <c r="S19" i="67"/>
  <c r="S241" i="67" s="1"/>
  <c r="T19" i="67"/>
  <c r="T241" i="67" s="1"/>
  <c r="U19" i="67"/>
  <c r="U241" i="67" s="1"/>
  <c r="B20" i="67"/>
  <c r="B242" i="67" s="1"/>
  <c r="C20" i="67"/>
  <c r="C242" i="67" s="1"/>
  <c r="D20" i="67"/>
  <c r="E20" i="67"/>
  <c r="E242" i="67" s="1"/>
  <c r="F20" i="67"/>
  <c r="F242" i="67" s="1"/>
  <c r="G20" i="67"/>
  <c r="H20" i="67"/>
  <c r="H242" i="67" s="1"/>
  <c r="I20" i="67"/>
  <c r="I242" i="67" s="1"/>
  <c r="J20" i="67"/>
  <c r="K20" i="67"/>
  <c r="K242" i="67" s="1"/>
  <c r="L20" i="67"/>
  <c r="M20" i="67"/>
  <c r="M242" i="67" s="1"/>
  <c r="N20" i="67"/>
  <c r="O20" i="67"/>
  <c r="O242" i="67" s="1"/>
  <c r="P20" i="67"/>
  <c r="Q20" i="67"/>
  <c r="Q242" i="67" s="1"/>
  <c r="R20" i="67"/>
  <c r="R242" i="67" s="1"/>
  <c r="S20" i="67"/>
  <c r="S242" i="67" s="1"/>
  <c r="T20" i="67"/>
  <c r="U20" i="67"/>
  <c r="U242" i="67" s="1"/>
  <c r="B21" i="67"/>
  <c r="B243" i="67" s="1"/>
  <c r="C21" i="67"/>
  <c r="C243" i="67" s="1"/>
  <c r="D21" i="67"/>
  <c r="D243" i="67" s="1"/>
  <c r="E21" i="67"/>
  <c r="E243" i="67" s="1"/>
  <c r="F21" i="67"/>
  <c r="F243" i="67" s="1"/>
  <c r="G21" i="67"/>
  <c r="H21" i="67"/>
  <c r="H243" i="67" s="1"/>
  <c r="I21" i="67"/>
  <c r="I243" i="67" s="1"/>
  <c r="J21" i="67"/>
  <c r="J243" i="67" s="1"/>
  <c r="K21" i="67"/>
  <c r="K243" i="67" s="1"/>
  <c r="L21" i="67"/>
  <c r="L243" i="67" s="1"/>
  <c r="M21" i="67"/>
  <c r="M243" i="67"/>
  <c r="N21" i="67"/>
  <c r="N243" i="67" s="1"/>
  <c r="O21" i="67"/>
  <c r="O243" i="67" s="1"/>
  <c r="P21" i="67"/>
  <c r="Q21" i="67"/>
  <c r="Q243" i="67"/>
  <c r="R21" i="67"/>
  <c r="R243" i="67" s="1"/>
  <c r="S21" i="67"/>
  <c r="T21" i="67"/>
  <c r="U21" i="67"/>
  <c r="U243" i="67" s="1"/>
  <c r="B22" i="67"/>
  <c r="B244" i="67" s="1"/>
  <c r="C22" i="67"/>
  <c r="C244" i="67" s="1"/>
  <c r="D22" i="67"/>
  <c r="E22" i="67"/>
  <c r="E244" i="67" s="1"/>
  <c r="F22" i="67"/>
  <c r="F244" i="67" s="1"/>
  <c r="G22" i="67"/>
  <c r="G244" i="67" s="1"/>
  <c r="H22" i="67"/>
  <c r="H244" i="67" s="1"/>
  <c r="I22" i="67"/>
  <c r="I244" i="67" s="1"/>
  <c r="J22" i="67"/>
  <c r="J244" i="67" s="1"/>
  <c r="K22" i="67"/>
  <c r="K244" i="67" s="1"/>
  <c r="L22" i="67"/>
  <c r="L244" i="67" s="1"/>
  <c r="M22" i="67"/>
  <c r="M244" i="67" s="1"/>
  <c r="N22" i="67"/>
  <c r="N244" i="67" s="1"/>
  <c r="O22" i="67"/>
  <c r="O244" i="67" s="1"/>
  <c r="P22" i="67"/>
  <c r="P244" i="67" s="1"/>
  <c r="Q22" i="67"/>
  <c r="Q244" i="67" s="1"/>
  <c r="R22" i="67"/>
  <c r="S22" i="67"/>
  <c r="S244" i="67" s="1"/>
  <c r="T22" i="67"/>
  <c r="U22" i="67"/>
  <c r="U244" i="67" s="1"/>
  <c r="B23" i="67"/>
  <c r="C23" i="67"/>
  <c r="C245" i="67" s="1"/>
  <c r="D23" i="67"/>
  <c r="E23" i="67"/>
  <c r="E245" i="67" s="1"/>
  <c r="F23" i="67"/>
  <c r="F245" i="67" s="1"/>
  <c r="G23" i="67"/>
  <c r="G245" i="67" s="1"/>
  <c r="H23" i="67"/>
  <c r="I23" i="67"/>
  <c r="I245" i="67" s="1"/>
  <c r="J23" i="67"/>
  <c r="J245" i="67" s="1"/>
  <c r="K23" i="67"/>
  <c r="L23" i="67"/>
  <c r="L245" i="67" s="1"/>
  <c r="M23" i="67"/>
  <c r="M245" i="67" s="1"/>
  <c r="N23" i="67"/>
  <c r="N245" i="67" s="1"/>
  <c r="O23" i="67"/>
  <c r="O245" i="67" s="1"/>
  <c r="P23" i="67"/>
  <c r="P245" i="67" s="1"/>
  <c r="Q23" i="67"/>
  <c r="Q245" i="67" s="1"/>
  <c r="R23" i="67"/>
  <c r="S23" i="67"/>
  <c r="S245" i="67" s="1"/>
  <c r="T23" i="67"/>
  <c r="T245" i="67" s="1"/>
  <c r="U23" i="67"/>
  <c r="U245" i="67"/>
  <c r="B24" i="67"/>
  <c r="C24" i="67"/>
  <c r="C246" i="67" s="1"/>
  <c r="D24" i="67"/>
  <c r="E24" i="67"/>
  <c r="E246" i="67" s="1"/>
  <c r="F24" i="67"/>
  <c r="F246" i="67" s="1"/>
  <c r="G24" i="67"/>
  <c r="H24" i="67"/>
  <c r="I24" i="67"/>
  <c r="I246" i="67" s="1"/>
  <c r="J24" i="67"/>
  <c r="K24" i="67"/>
  <c r="L24" i="67"/>
  <c r="M24" i="67"/>
  <c r="M246" i="67" s="1"/>
  <c r="N24" i="67"/>
  <c r="O24" i="67"/>
  <c r="P24" i="67"/>
  <c r="P246" i="67" s="1"/>
  <c r="Q24" i="67"/>
  <c r="Q246" i="67" s="1"/>
  <c r="R24" i="67"/>
  <c r="R246" i="67" s="1"/>
  <c r="S24" i="67"/>
  <c r="S246" i="67" s="1"/>
  <c r="T24" i="67"/>
  <c r="U24" i="67"/>
  <c r="U246" i="67"/>
  <c r="B26" i="67"/>
  <c r="B248" i="67" s="1"/>
  <c r="C26" i="67"/>
  <c r="D26" i="67"/>
  <c r="D248" i="67"/>
  <c r="E26" i="67"/>
  <c r="E248" i="67" s="1"/>
  <c r="F26" i="67"/>
  <c r="F248" i="67" s="1"/>
  <c r="G26" i="67"/>
  <c r="H26" i="67"/>
  <c r="I26" i="67"/>
  <c r="I248" i="67" s="1"/>
  <c r="J26" i="67"/>
  <c r="J248" i="67" s="1"/>
  <c r="K26" i="67"/>
  <c r="K248" i="67" s="1"/>
  <c r="L26" i="67"/>
  <c r="M26" i="67"/>
  <c r="M248" i="67" s="1"/>
  <c r="N26" i="67"/>
  <c r="N248" i="67" s="1"/>
  <c r="O26" i="67"/>
  <c r="O248" i="67" s="1"/>
  <c r="P26" i="67"/>
  <c r="P248" i="67" s="1"/>
  <c r="Q26" i="67"/>
  <c r="Q248" i="67"/>
  <c r="R26" i="67"/>
  <c r="S26" i="67"/>
  <c r="T26" i="67"/>
  <c r="U26" i="67"/>
  <c r="U248" i="67" s="1"/>
  <c r="B28" i="67"/>
  <c r="B250" i="67" s="1"/>
  <c r="C28" i="67"/>
  <c r="C250" i="67" s="1"/>
  <c r="D28" i="67"/>
  <c r="D250" i="67" s="1"/>
  <c r="E28" i="67"/>
  <c r="E250" i="67" s="1"/>
  <c r="F28" i="67"/>
  <c r="F250" i="67" s="1"/>
  <c r="G28" i="67"/>
  <c r="H28" i="67"/>
  <c r="H250" i="67" s="1"/>
  <c r="I28" i="67"/>
  <c r="I250" i="67" s="1"/>
  <c r="J28" i="67"/>
  <c r="K28" i="67"/>
  <c r="K250" i="67" s="1"/>
  <c r="L28" i="67"/>
  <c r="M28" i="67"/>
  <c r="M250" i="67" s="1"/>
  <c r="N28" i="67"/>
  <c r="O28" i="67"/>
  <c r="P28" i="67"/>
  <c r="P250" i="67" s="1"/>
  <c r="Q28" i="67"/>
  <c r="Q250" i="67" s="1"/>
  <c r="R28" i="67"/>
  <c r="S28" i="67"/>
  <c r="S250" i="67" s="1"/>
  <c r="T28" i="67"/>
  <c r="U28" i="67"/>
  <c r="U250" i="67" s="1"/>
  <c r="B30" i="67"/>
  <c r="B252" i="67" s="1"/>
  <c r="C30" i="67"/>
  <c r="C252" i="67" s="1"/>
  <c r="D30" i="67"/>
  <c r="E30" i="67"/>
  <c r="E252" i="67"/>
  <c r="F30" i="67"/>
  <c r="G30" i="67"/>
  <c r="G252" i="67" s="1"/>
  <c r="H30" i="67"/>
  <c r="I30" i="67"/>
  <c r="I252" i="67" s="1"/>
  <c r="J30" i="67"/>
  <c r="J252" i="67" s="1"/>
  <c r="K30" i="67"/>
  <c r="K252" i="67" s="1"/>
  <c r="L30" i="67"/>
  <c r="M30" i="67"/>
  <c r="M252" i="67" s="1"/>
  <c r="N30" i="67"/>
  <c r="N252" i="67" s="1"/>
  <c r="O30" i="67"/>
  <c r="P30" i="67"/>
  <c r="P252" i="67" s="1"/>
  <c r="Q30" i="67"/>
  <c r="Q252" i="67" s="1"/>
  <c r="R30" i="67"/>
  <c r="S30" i="67"/>
  <c r="T30" i="67"/>
  <c r="U30" i="67"/>
  <c r="U252" i="67" s="1"/>
  <c r="B32" i="67"/>
  <c r="C32" i="67"/>
  <c r="C254" i="67" s="1"/>
  <c r="D32" i="67"/>
  <c r="E32" i="67"/>
  <c r="E254" i="67" s="1"/>
  <c r="F32" i="67"/>
  <c r="F254" i="67" s="1"/>
  <c r="G32" i="67"/>
  <c r="G254" i="67" s="1"/>
  <c r="H32" i="67"/>
  <c r="H254" i="67" s="1"/>
  <c r="I32" i="67"/>
  <c r="I254" i="67" s="1"/>
  <c r="J32" i="67"/>
  <c r="K32" i="67"/>
  <c r="L32" i="67"/>
  <c r="L254" i="67" s="1"/>
  <c r="M32" i="67"/>
  <c r="M254" i="67" s="1"/>
  <c r="N32" i="67"/>
  <c r="N254" i="67" s="1"/>
  <c r="O32" i="67"/>
  <c r="O254" i="67" s="1"/>
  <c r="P32" i="67"/>
  <c r="Q32" i="67"/>
  <c r="Q254" i="67" s="1"/>
  <c r="R32" i="67"/>
  <c r="S32" i="67"/>
  <c r="T32" i="67"/>
  <c r="T254" i="67" s="1"/>
  <c r="U32" i="67"/>
  <c r="U254" i="67" s="1"/>
  <c r="B34" i="67"/>
  <c r="B256" i="67" s="1"/>
  <c r="C34" i="67"/>
  <c r="D34" i="67"/>
  <c r="D256" i="67" s="1"/>
  <c r="E34" i="67"/>
  <c r="E256" i="67" s="1"/>
  <c r="F34" i="67"/>
  <c r="F256" i="67" s="1"/>
  <c r="G34" i="67"/>
  <c r="G256" i="67" s="1"/>
  <c r="H34" i="67"/>
  <c r="H256" i="67" s="1"/>
  <c r="I34" i="67"/>
  <c r="I256" i="67" s="1"/>
  <c r="J34" i="67"/>
  <c r="K34" i="67"/>
  <c r="K256" i="67" s="1"/>
  <c r="L34" i="67"/>
  <c r="M34" i="67"/>
  <c r="M256" i="67" s="1"/>
  <c r="N34" i="67"/>
  <c r="N256" i="67" s="1"/>
  <c r="O34" i="67"/>
  <c r="O256" i="67" s="1"/>
  <c r="P34" i="67"/>
  <c r="P256" i="67" s="1"/>
  <c r="Q34" i="67"/>
  <c r="Q256" i="67"/>
  <c r="R34" i="67"/>
  <c r="S34" i="67"/>
  <c r="S256" i="67" s="1"/>
  <c r="T34" i="67"/>
  <c r="U34" i="67"/>
  <c r="U256" i="67" s="1"/>
  <c r="B38" i="67"/>
  <c r="C38" i="67"/>
  <c r="C260" i="67" s="1"/>
  <c r="D38" i="67"/>
  <c r="D260" i="67" s="1"/>
  <c r="E38" i="67"/>
  <c r="E260" i="67"/>
  <c r="F38" i="67"/>
  <c r="F260" i="67" s="1"/>
  <c r="G38" i="67"/>
  <c r="H38" i="67"/>
  <c r="I38" i="67"/>
  <c r="I260" i="67" s="1"/>
  <c r="J38" i="67"/>
  <c r="K38" i="67"/>
  <c r="K260" i="67"/>
  <c r="L38" i="67"/>
  <c r="L260" i="67" s="1"/>
  <c r="M38" i="67"/>
  <c r="M260" i="67"/>
  <c r="N38" i="67"/>
  <c r="O38" i="67"/>
  <c r="O260" i="67" s="1"/>
  <c r="P38" i="67"/>
  <c r="Q38" i="67"/>
  <c r="Q260" i="67" s="1"/>
  <c r="R38" i="67"/>
  <c r="S38" i="67"/>
  <c r="T38" i="67"/>
  <c r="U38" i="67"/>
  <c r="U260" i="67" s="1"/>
  <c r="B42" i="67"/>
  <c r="B264" i="67" s="1"/>
  <c r="C42" i="67"/>
  <c r="C264" i="67" s="1"/>
  <c r="D42" i="67"/>
  <c r="E42" i="67"/>
  <c r="E264" i="67"/>
  <c r="F42" i="67"/>
  <c r="F264" i="67" s="1"/>
  <c r="G42" i="67"/>
  <c r="H42" i="67"/>
  <c r="H264" i="67"/>
  <c r="I42" i="67"/>
  <c r="I264" i="67" s="1"/>
  <c r="J42" i="67"/>
  <c r="K42" i="67"/>
  <c r="L42" i="67"/>
  <c r="L264" i="67" s="1"/>
  <c r="M42" i="67"/>
  <c r="M264" i="67" s="1"/>
  <c r="N42" i="67"/>
  <c r="N264" i="67" s="1"/>
  <c r="O42" i="67"/>
  <c r="P42" i="67"/>
  <c r="P264" i="67" s="1"/>
  <c r="Q42" i="67"/>
  <c r="Q264" i="67" s="1"/>
  <c r="R42" i="67"/>
  <c r="R264" i="67" s="1"/>
  <c r="S42" i="67"/>
  <c r="S264" i="67" s="1"/>
  <c r="T42" i="67"/>
  <c r="T264" i="67" s="1"/>
  <c r="U42" i="67"/>
  <c r="U264" i="67" s="1"/>
  <c r="B46" i="67"/>
  <c r="C46" i="67"/>
  <c r="C268" i="67" s="1"/>
  <c r="D46" i="67"/>
  <c r="E46" i="67"/>
  <c r="E268" i="67"/>
  <c r="F46" i="67"/>
  <c r="F268" i="67" s="1"/>
  <c r="G46" i="67"/>
  <c r="H46" i="67"/>
  <c r="I46" i="67"/>
  <c r="I268" i="67"/>
  <c r="J46" i="67"/>
  <c r="K46" i="67"/>
  <c r="L46" i="67"/>
  <c r="L268" i="67"/>
  <c r="M46" i="67"/>
  <c r="M268" i="67" s="1"/>
  <c r="N46" i="67"/>
  <c r="O46" i="67"/>
  <c r="O268" i="67" s="1"/>
  <c r="P46" i="67"/>
  <c r="P268" i="67" s="1"/>
  <c r="Q46" i="67"/>
  <c r="Q268" i="67" s="1"/>
  <c r="R46" i="67"/>
  <c r="S46" i="67"/>
  <c r="S268" i="67" s="1"/>
  <c r="T46" i="67"/>
  <c r="U46" i="67"/>
  <c r="U268" i="67"/>
  <c r="B51" i="67"/>
  <c r="C51" i="67"/>
  <c r="C103" i="67" s="1"/>
  <c r="D51" i="67"/>
  <c r="D103" i="67" s="1"/>
  <c r="E51" i="67"/>
  <c r="F51" i="67"/>
  <c r="F103" i="67" s="1"/>
  <c r="G51" i="67"/>
  <c r="G273" i="67"/>
  <c r="G325" i="67" s="1"/>
  <c r="H51" i="67"/>
  <c r="H103" i="67" s="1"/>
  <c r="I51" i="67"/>
  <c r="I103" i="67" s="1"/>
  <c r="J51" i="67"/>
  <c r="J103" i="67" s="1"/>
  <c r="K51" i="67"/>
  <c r="K103" i="67" s="1"/>
  <c r="L51" i="67"/>
  <c r="L103" i="67"/>
  <c r="M51" i="67"/>
  <c r="M273" i="67" s="1"/>
  <c r="M325" i="67" s="1"/>
  <c r="N51" i="67"/>
  <c r="O51" i="67"/>
  <c r="O103" i="67"/>
  <c r="P51" i="67"/>
  <c r="P103" i="67" s="1"/>
  <c r="Q51" i="67"/>
  <c r="R51" i="67"/>
  <c r="R103" i="67" s="1"/>
  <c r="S51" i="67"/>
  <c r="T51" i="67"/>
  <c r="T103" i="67" s="1"/>
  <c r="U51" i="67"/>
  <c r="U273" i="67" s="1"/>
  <c r="U325" i="67" s="1"/>
  <c r="B52" i="67"/>
  <c r="B274" i="67" s="1"/>
  <c r="C52" i="67"/>
  <c r="D52" i="67"/>
  <c r="E52" i="67"/>
  <c r="E274" i="67"/>
  <c r="F52" i="67"/>
  <c r="G52" i="67"/>
  <c r="H52" i="67"/>
  <c r="I52" i="67"/>
  <c r="I274" i="67" s="1"/>
  <c r="J52" i="67"/>
  <c r="J274" i="67" s="1"/>
  <c r="K52" i="67"/>
  <c r="L52" i="67"/>
  <c r="L274" i="67" s="1"/>
  <c r="M52" i="67"/>
  <c r="M274" i="67" s="1"/>
  <c r="N52" i="67"/>
  <c r="N274" i="67" s="1"/>
  <c r="O52" i="67"/>
  <c r="P52" i="67"/>
  <c r="P274" i="67" s="1"/>
  <c r="Q52" i="67"/>
  <c r="Q274" i="67"/>
  <c r="R52" i="67"/>
  <c r="R274" i="67" s="1"/>
  <c r="S52" i="67"/>
  <c r="S274" i="67" s="1"/>
  <c r="T52" i="67"/>
  <c r="U52" i="67"/>
  <c r="U274" i="67" s="1"/>
  <c r="B54" i="67"/>
  <c r="C54" i="67"/>
  <c r="C276" i="67" s="1"/>
  <c r="D54" i="67"/>
  <c r="D276" i="67" s="1"/>
  <c r="E54" i="67"/>
  <c r="E276" i="67" s="1"/>
  <c r="F54" i="67"/>
  <c r="G54" i="67"/>
  <c r="H54" i="67"/>
  <c r="H276" i="67" s="1"/>
  <c r="I54" i="67"/>
  <c r="I276" i="67" s="1"/>
  <c r="J54" i="67"/>
  <c r="J276" i="67" s="1"/>
  <c r="K54" i="67"/>
  <c r="L54" i="67"/>
  <c r="M54" i="67"/>
  <c r="M276" i="67" s="1"/>
  <c r="N54" i="67"/>
  <c r="O54" i="67"/>
  <c r="P54" i="67"/>
  <c r="P276" i="67" s="1"/>
  <c r="Q54" i="67"/>
  <c r="Q276" i="67" s="1"/>
  <c r="R54" i="67"/>
  <c r="R276" i="67"/>
  <c r="S54" i="67"/>
  <c r="T54" i="67"/>
  <c r="T276" i="67" s="1"/>
  <c r="U54" i="67"/>
  <c r="U276" i="67"/>
  <c r="B56" i="67"/>
  <c r="C56" i="67"/>
  <c r="C278" i="67" s="1"/>
  <c r="D56" i="67"/>
  <c r="E56" i="67"/>
  <c r="E278" i="67" s="1"/>
  <c r="F56" i="67"/>
  <c r="F278" i="67" s="1"/>
  <c r="G56" i="67"/>
  <c r="H56" i="67"/>
  <c r="H278" i="67" s="1"/>
  <c r="I56" i="67"/>
  <c r="I278" i="67" s="1"/>
  <c r="J56" i="67"/>
  <c r="K56" i="67"/>
  <c r="L56" i="67"/>
  <c r="L278" i="67" s="1"/>
  <c r="M56" i="67"/>
  <c r="M278" i="67" s="1"/>
  <c r="N56" i="67"/>
  <c r="N278" i="67" s="1"/>
  <c r="O56" i="67"/>
  <c r="O278" i="67" s="1"/>
  <c r="P56" i="67"/>
  <c r="Q56" i="67"/>
  <c r="Q278" i="67" s="1"/>
  <c r="R56" i="67"/>
  <c r="R278" i="67" s="1"/>
  <c r="S56" i="67"/>
  <c r="S278" i="67" s="1"/>
  <c r="T56" i="67"/>
  <c r="U56" i="67"/>
  <c r="U278" i="67"/>
  <c r="B58" i="67"/>
  <c r="B280" i="67" s="1"/>
  <c r="C58" i="67"/>
  <c r="D58" i="67"/>
  <c r="E58" i="67"/>
  <c r="E280" i="67" s="1"/>
  <c r="F58" i="67"/>
  <c r="G58" i="67"/>
  <c r="H58" i="67"/>
  <c r="I58" i="67"/>
  <c r="I280" i="67" s="1"/>
  <c r="J58" i="67"/>
  <c r="J280" i="67" s="1"/>
  <c r="K58" i="67"/>
  <c r="L58" i="67"/>
  <c r="L280" i="67" s="1"/>
  <c r="M58" i="67"/>
  <c r="M280" i="67" s="1"/>
  <c r="N58" i="67"/>
  <c r="N280" i="67" s="1"/>
  <c r="O58" i="67"/>
  <c r="P58" i="67"/>
  <c r="P280" i="67" s="1"/>
  <c r="Q58" i="67"/>
  <c r="Q280" i="67" s="1"/>
  <c r="R58" i="67"/>
  <c r="S58" i="67"/>
  <c r="S280" i="67" s="1"/>
  <c r="T58" i="67"/>
  <c r="U58" i="67"/>
  <c r="U280" i="67" s="1"/>
  <c r="B60" i="67"/>
  <c r="B282" i="67" s="1"/>
  <c r="C60" i="67"/>
  <c r="C282" i="67" s="1"/>
  <c r="D60" i="67"/>
  <c r="E60" i="67"/>
  <c r="E282" i="67" s="1"/>
  <c r="F60" i="67"/>
  <c r="F282" i="67" s="1"/>
  <c r="G60" i="67"/>
  <c r="G282" i="67" s="1"/>
  <c r="H60" i="67"/>
  <c r="I60" i="67"/>
  <c r="I282" i="67" s="1"/>
  <c r="J60" i="67"/>
  <c r="J282" i="67" s="1"/>
  <c r="K60" i="67"/>
  <c r="L60" i="67"/>
  <c r="L282" i="67" s="1"/>
  <c r="M60" i="67"/>
  <c r="M282" i="67" s="1"/>
  <c r="N60" i="67"/>
  <c r="N282" i="67" s="1"/>
  <c r="O60" i="67"/>
  <c r="O282" i="67" s="1"/>
  <c r="P60" i="67"/>
  <c r="P282" i="67" s="1"/>
  <c r="Q60" i="67"/>
  <c r="Q282" i="67" s="1"/>
  <c r="R60" i="67"/>
  <c r="R282" i="67" s="1"/>
  <c r="S60" i="67"/>
  <c r="S282" i="67" s="1"/>
  <c r="T60" i="67"/>
  <c r="U60" i="67"/>
  <c r="U282" i="67" s="1"/>
  <c r="B62" i="67"/>
  <c r="B284" i="67" s="1"/>
  <c r="C62" i="67"/>
  <c r="C284" i="67" s="1"/>
  <c r="D62" i="67"/>
  <c r="E62" i="67"/>
  <c r="E284" i="67" s="1"/>
  <c r="F62" i="67"/>
  <c r="F284" i="67" s="1"/>
  <c r="G62" i="67"/>
  <c r="G284" i="67" s="1"/>
  <c r="H62" i="67"/>
  <c r="I62" i="67"/>
  <c r="I284" i="67"/>
  <c r="J62" i="67"/>
  <c r="J284" i="67" s="1"/>
  <c r="K62" i="67"/>
  <c r="L62" i="67"/>
  <c r="L284" i="67"/>
  <c r="M62" i="67"/>
  <c r="M284" i="67" s="1"/>
  <c r="N62" i="67"/>
  <c r="O62" i="67"/>
  <c r="P62" i="67"/>
  <c r="P284" i="67" s="1"/>
  <c r="Q62" i="67"/>
  <c r="Q284" i="67" s="1"/>
  <c r="R62" i="67"/>
  <c r="R284" i="67" s="1"/>
  <c r="S62" i="67"/>
  <c r="S284" i="67" s="1"/>
  <c r="T62" i="67"/>
  <c r="T284" i="67" s="1"/>
  <c r="U62" i="67"/>
  <c r="U284" i="67" s="1"/>
  <c r="B64" i="67"/>
  <c r="C64" i="67"/>
  <c r="C286" i="67" s="1"/>
  <c r="D64" i="67"/>
  <c r="E64" i="67"/>
  <c r="E286" i="67" s="1"/>
  <c r="F64" i="67"/>
  <c r="F286" i="67" s="1"/>
  <c r="G64" i="67"/>
  <c r="G286" i="67" s="1"/>
  <c r="H64" i="67"/>
  <c r="I64" i="67"/>
  <c r="I286" i="67" s="1"/>
  <c r="J64" i="67"/>
  <c r="J286" i="67" s="1"/>
  <c r="K64" i="67"/>
  <c r="L64" i="67"/>
  <c r="M64" i="67"/>
  <c r="M286" i="67" s="1"/>
  <c r="N64" i="67"/>
  <c r="N286" i="67" s="1"/>
  <c r="O64" i="67"/>
  <c r="P64" i="67"/>
  <c r="P286" i="67" s="1"/>
  <c r="Q64" i="67"/>
  <c r="Q286" i="67" s="1"/>
  <c r="R64" i="67"/>
  <c r="R286" i="67" s="1"/>
  <c r="S64" i="67"/>
  <c r="S286" i="67" s="1"/>
  <c r="T64" i="67"/>
  <c r="U64" i="67"/>
  <c r="U286" i="67"/>
  <c r="B66" i="67"/>
  <c r="B288" i="67" s="1"/>
  <c r="C66" i="67"/>
  <c r="D66" i="67"/>
  <c r="E66" i="67"/>
  <c r="E288" i="67" s="1"/>
  <c r="F66" i="67"/>
  <c r="F288" i="67" s="1"/>
  <c r="G66" i="67"/>
  <c r="H66" i="67"/>
  <c r="H288" i="67" s="1"/>
  <c r="I66" i="67"/>
  <c r="I288" i="67" s="1"/>
  <c r="J66" i="67"/>
  <c r="K66" i="67"/>
  <c r="L66" i="67"/>
  <c r="M66" i="67"/>
  <c r="M288" i="67" s="1"/>
  <c r="N66" i="67"/>
  <c r="O66" i="67"/>
  <c r="O288" i="67" s="1"/>
  <c r="P66" i="67"/>
  <c r="P288" i="67" s="1"/>
  <c r="Q66" i="67"/>
  <c r="Q288" i="67" s="1"/>
  <c r="R66" i="67"/>
  <c r="S66" i="67"/>
  <c r="T66" i="67"/>
  <c r="T288" i="67" s="1"/>
  <c r="U66" i="67"/>
  <c r="U288" i="67" s="1"/>
  <c r="B68" i="67"/>
  <c r="C68" i="67"/>
  <c r="C290" i="67" s="1"/>
  <c r="D68" i="67"/>
  <c r="D290" i="67" s="1"/>
  <c r="E68" i="67"/>
  <c r="E290" i="67" s="1"/>
  <c r="F68" i="67"/>
  <c r="F290" i="67" s="1"/>
  <c r="G68" i="67"/>
  <c r="H68" i="67"/>
  <c r="I68" i="67"/>
  <c r="I290" i="67" s="1"/>
  <c r="J68" i="67"/>
  <c r="K68" i="67"/>
  <c r="L68" i="67"/>
  <c r="L290" i="67" s="1"/>
  <c r="M68" i="67"/>
  <c r="M290" i="67" s="1"/>
  <c r="N68" i="67"/>
  <c r="O68" i="67"/>
  <c r="P68" i="67"/>
  <c r="P290" i="67" s="1"/>
  <c r="Q68" i="67"/>
  <c r="Q290" i="67" s="1"/>
  <c r="R68" i="67"/>
  <c r="R290" i="67" s="1"/>
  <c r="S68" i="67"/>
  <c r="S290" i="67" s="1"/>
  <c r="T68" i="67"/>
  <c r="T290" i="67" s="1"/>
  <c r="U68" i="67"/>
  <c r="U290" i="67" s="1"/>
  <c r="B70" i="67"/>
  <c r="C70" i="67"/>
  <c r="D70" i="67"/>
  <c r="E70" i="67"/>
  <c r="F70" i="67"/>
  <c r="G70" i="67"/>
  <c r="H70" i="67"/>
  <c r="I70" i="67"/>
  <c r="J70" i="67"/>
  <c r="K70" i="67"/>
  <c r="L70" i="67"/>
  <c r="M70" i="67"/>
  <c r="N70" i="67"/>
  <c r="O70" i="67"/>
  <c r="P70" i="67"/>
  <c r="Q70" i="67"/>
  <c r="R70" i="67"/>
  <c r="S70" i="67"/>
  <c r="T70" i="67"/>
  <c r="U70" i="67"/>
  <c r="B72" i="67"/>
  <c r="C72" i="67"/>
  <c r="D72" i="67"/>
  <c r="E72" i="67"/>
  <c r="F72" i="67"/>
  <c r="G72" i="67"/>
  <c r="H72" i="67"/>
  <c r="I72" i="67"/>
  <c r="J72" i="67"/>
  <c r="K72" i="67"/>
  <c r="L72" i="67"/>
  <c r="M72" i="67"/>
  <c r="N72" i="67"/>
  <c r="O72" i="67"/>
  <c r="P72" i="67"/>
  <c r="Q72" i="67"/>
  <c r="R72" i="67"/>
  <c r="S72" i="67"/>
  <c r="T72" i="67"/>
  <c r="U72" i="67"/>
  <c r="C80" i="67"/>
  <c r="D80" i="67"/>
  <c r="E80" i="67"/>
  <c r="F80" i="67"/>
  <c r="G80" i="67"/>
  <c r="H80" i="67"/>
  <c r="I80" i="67"/>
  <c r="J80" i="67"/>
  <c r="K80" i="67"/>
  <c r="L80" i="67"/>
  <c r="M80" i="67"/>
  <c r="N80" i="67"/>
  <c r="O80" i="67"/>
  <c r="P80" i="67"/>
  <c r="Q80" i="67"/>
  <c r="R80" i="67"/>
  <c r="S80" i="67"/>
  <c r="T80" i="67"/>
  <c r="U80" i="67"/>
  <c r="C81" i="67"/>
  <c r="D81" i="67"/>
  <c r="E81" i="67"/>
  <c r="F81" i="67"/>
  <c r="G81" i="67"/>
  <c r="H81" i="67"/>
  <c r="I81" i="67"/>
  <c r="J81" i="67"/>
  <c r="K81" i="67"/>
  <c r="L81" i="67"/>
  <c r="M81" i="67"/>
  <c r="N81" i="67"/>
  <c r="O81" i="67"/>
  <c r="P81" i="67"/>
  <c r="Q81" i="67"/>
  <c r="R81" i="67"/>
  <c r="S81" i="67"/>
  <c r="T81" i="67"/>
  <c r="U81" i="67"/>
  <c r="C82" i="67"/>
  <c r="D82" i="67"/>
  <c r="E82" i="67"/>
  <c r="F82" i="67"/>
  <c r="G82" i="67"/>
  <c r="H82" i="67"/>
  <c r="I82" i="67"/>
  <c r="J82" i="67"/>
  <c r="K82" i="67"/>
  <c r="L82" i="67"/>
  <c r="M82" i="67"/>
  <c r="N82" i="67"/>
  <c r="O82" i="67"/>
  <c r="P82" i="67"/>
  <c r="Q82" i="67"/>
  <c r="R82" i="67"/>
  <c r="S82" i="67"/>
  <c r="T82" i="67"/>
  <c r="U82" i="67"/>
  <c r="B83" i="67"/>
  <c r="C85" i="67"/>
  <c r="C87" i="67" s="1"/>
  <c r="D85" i="67"/>
  <c r="E85" i="67"/>
  <c r="F85" i="67"/>
  <c r="G85" i="67"/>
  <c r="H85" i="67"/>
  <c r="I85" i="67"/>
  <c r="J85" i="67"/>
  <c r="K85" i="67"/>
  <c r="L85" i="67"/>
  <c r="M85" i="67"/>
  <c r="N85" i="67"/>
  <c r="O85" i="67"/>
  <c r="O87" i="67" s="1"/>
  <c r="P85" i="67"/>
  <c r="Q85" i="67"/>
  <c r="Q87" i="67" s="1"/>
  <c r="R85" i="67"/>
  <c r="S85" i="67"/>
  <c r="S87" i="67"/>
  <c r="T85" i="67"/>
  <c r="U85" i="67"/>
  <c r="C86" i="67"/>
  <c r="D86" i="67"/>
  <c r="D87" i="67" s="1"/>
  <c r="E86" i="67"/>
  <c r="F86" i="67"/>
  <c r="F87" i="67" s="1"/>
  <c r="G86" i="67"/>
  <c r="H86" i="67"/>
  <c r="I86" i="67"/>
  <c r="I87" i="67" s="1"/>
  <c r="J86" i="67"/>
  <c r="K86" i="67"/>
  <c r="L86" i="67"/>
  <c r="M86" i="67"/>
  <c r="N86" i="67"/>
  <c r="O86" i="67"/>
  <c r="P86" i="67"/>
  <c r="P87" i="67" s="1"/>
  <c r="Q86" i="67"/>
  <c r="R86" i="67"/>
  <c r="R87" i="67" s="1"/>
  <c r="S86" i="67"/>
  <c r="T86" i="67"/>
  <c r="T87" i="67"/>
  <c r="U86" i="67"/>
  <c r="B87" i="67"/>
  <c r="N103" i="67"/>
  <c r="B118" i="67"/>
  <c r="C118" i="67"/>
  <c r="D118" i="67"/>
  <c r="E118" i="67"/>
  <c r="F118" i="67"/>
  <c r="G118" i="67"/>
  <c r="H118" i="67"/>
  <c r="I118" i="67"/>
  <c r="J118" i="67"/>
  <c r="K118" i="67"/>
  <c r="L118" i="67"/>
  <c r="M118" i="67"/>
  <c r="N118" i="67"/>
  <c r="O118" i="67"/>
  <c r="P118" i="67"/>
  <c r="Q118" i="67"/>
  <c r="R118" i="67"/>
  <c r="S118" i="67"/>
  <c r="T118" i="67"/>
  <c r="U118" i="67"/>
  <c r="B120" i="67"/>
  <c r="C120" i="67"/>
  <c r="D120" i="67"/>
  <c r="E120" i="67"/>
  <c r="F120" i="67"/>
  <c r="G120" i="67"/>
  <c r="H120" i="67"/>
  <c r="I120" i="67"/>
  <c r="J120" i="67"/>
  <c r="K120" i="67"/>
  <c r="L120" i="67"/>
  <c r="M120" i="67"/>
  <c r="N120" i="67"/>
  <c r="O120" i="67"/>
  <c r="P120" i="67"/>
  <c r="Q120" i="67"/>
  <c r="R120" i="67"/>
  <c r="S120" i="67"/>
  <c r="T120" i="67"/>
  <c r="U120" i="67"/>
  <c r="B122" i="67"/>
  <c r="C122" i="67"/>
  <c r="D122" i="67"/>
  <c r="E122" i="67"/>
  <c r="F122" i="67"/>
  <c r="G122" i="67"/>
  <c r="H122" i="67"/>
  <c r="I122" i="67"/>
  <c r="J122" i="67"/>
  <c r="K122" i="67"/>
  <c r="L122" i="67"/>
  <c r="M122" i="67"/>
  <c r="N122" i="67"/>
  <c r="O122" i="67"/>
  <c r="P122" i="67"/>
  <c r="Q122" i="67"/>
  <c r="R122" i="67"/>
  <c r="S122" i="67"/>
  <c r="T122" i="67"/>
  <c r="U122" i="67"/>
  <c r="B124" i="67"/>
  <c r="C124" i="67"/>
  <c r="D124" i="67"/>
  <c r="E124" i="67"/>
  <c r="F124" i="67"/>
  <c r="G124" i="67"/>
  <c r="H124" i="67"/>
  <c r="I124" i="67"/>
  <c r="J124" i="67"/>
  <c r="K124" i="67"/>
  <c r="L124" i="67"/>
  <c r="M124" i="67"/>
  <c r="N124" i="67"/>
  <c r="O124" i="67"/>
  <c r="P124" i="67"/>
  <c r="Q124" i="67"/>
  <c r="R124" i="67"/>
  <c r="S124" i="67"/>
  <c r="T124" i="67"/>
  <c r="U124" i="67"/>
  <c r="B141" i="67"/>
  <c r="C141" i="67"/>
  <c r="D141" i="67"/>
  <c r="E141" i="67"/>
  <c r="F141" i="67"/>
  <c r="G141" i="67"/>
  <c r="H141" i="67"/>
  <c r="I141" i="67"/>
  <c r="J141" i="67"/>
  <c r="K141" i="67"/>
  <c r="L141" i="67"/>
  <c r="M141" i="67"/>
  <c r="N141" i="67"/>
  <c r="O141" i="67"/>
  <c r="P141" i="67"/>
  <c r="Q141" i="67"/>
  <c r="R141" i="67"/>
  <c r="S141" i="67"/>
  <c r="T141" i="67"/>
  <c r="U141" i="67"/>
  <c r="B142" i="67"/>
  <c r="C142" i="67"/>
  <c r="D142" i="67"/>
  <c r="E142" i="67"/>
  <c r="F142" i="67"/>
  <c r="G142" i="67"/>
  <c r="H142" i="67"/>
  <c r="I142" i="67"/>
  <c r="J142" i="67"/>
  <c r="K142" i="67"/>
  <c r="L142" i="67"/>
  <c r="M142" i="67"/>
  <c r="N142" i="67"/>
  <c r="O142" i="67"/>
  <c r="P142" i="67"/>
  <c r="Q142" i="67"/>
  <c r="R142" i="67"/>
  <c r="S142" i="67"/>
  <c r="T142" i="67"/>
  <c r="U142" i="67"/>
  <c r="B143" i="67"/>
  <c r="C143" i="67"/>
  <c r="C144" i="67"/>
  <c r="D143" i="67"/>
  <c r="E143" i="67"/>
  <c r="E144" i="67" s="1"/>
  <c r="F143" i="67"/>
  <c r="F144" i="67" s="1"/>
  <c r="G143" i="67"/>
  <c r="G144" i="67" s="1"/>
  <c r="H143" i="67"/>
  <c r="H144" i="67" s="1"/>
  <c r="I143" i="67"/>
  <c r="J143" i="67"/>
  <c r="K143" i="67"/>
  <c r="K144" i="67" s="1"/>
  <c r="L143" i="67"/>
  <c r="L144" i="67" s="1"/>
  <c r="M143" i="67"/>
  <c r="M144" i="67" s="1"/>
  <c r="N143" i="67"/>
  <c r="N144" i="67"/>
  <c r="O143" i="67"/>
  <c r="O144" i="67" s="1"/>
  <c r="P143" i="67"/>
  <c r="P144" i="67" s="1"/>
  <c r="Q143" i="67"/>
  <c r="R143" i="67"/>
  <c r="S143" i="67"/>
  <c r="T143" i="67"/>
  <c r="T144" i="67"/>
  <c r="U143" i="67"/>
  <c r="U144" i="67" s="1"/>
  <c r="B144" i="67"/>
  <c r="D144" i="67"/>
  <c r="I144" i="67"/>
  <c r="J144" i="67"/>
  <c r="Q144" i="67"/>
  <c r="R144" i="67"/>
  <c r="S144" i="67"/>
  <c r="B145" i="67"/>
  <c r="G145" i="67"/>
  <c r="J145" i="67"/>
  <c r="N145" i="67"/>
  <c r="S145" i="67"/>
  <c r="B147" i="67"/>
  <c r="J147" i="67"/>
  <c r="K147" i="67"/>
  <c r="S147" i="67"/>
  <c r="B149" i="67"/>
  <c r="C149" i="67"/>
  <c r="D149" i="67"/>
  <c r="E149" i="67"/>
  <c r="F149" i="67"/>
  <c r="G149" i="67"/>
  <c r="H149" i="67"/>
  <c r="I149" i="67"/>
  <c r="J149" i="67"/>
  <c r="K149" i="67"/>
  <c r="L149" i="67"/>
  <c r="M149" i="67"/>
  <c r="N149" i="67"/>
  <c r="O149" i="67"/>
  <c r="P149" i="67"/>
  <c r="Q149" i="67"/>
  <c r="R149" i="67"/>
  <c r="S149" i="67"/>
  <c r="T149" i="67"/>
  <c r="U149" i="67"/>
  <c r="B150" i="67"/>
  <c r="C150" i="67"/>
  <c r="D150" i="67"/>
  <c r="E150" i="67"/>
  <c r="F150" i="67"/>
  <c r="G150" i="67"/>
  <c r="H150" i="67"/>
  <c r="I150" i="67"/>
  <c r="J150" i="67"/>
  <c r="K150" i="67"/>
  <c r="L150" i="67"/>
  <c r="M150" i="67"/>
  <c r="N150" i="67"/>
  <c r="O150" i="67"/>
  <c r="P150" i="67"/>
  <c r="Q150" i="67"/>
  <c r="R150" i="67"/>
  <c r="S150" i="67"/>
  <c r="T150" i="67"/>
  <c r="U150" i="67"/>
  <c r="B151" i="67"/>
  <c r="B152" i="67" s="1"/>
  <c r="C151" i="67"/>
  <c r="C152" i="67" s="1"/>
  <c r="D151" i="67"/>
  <c r="D152" i="67" s="1"/>
  <c r="E151" i="67"/>
  <c r="E152" i="67" s="1"/>
  <c r="F151" i="67"/>
  <c r="G151" i="67"/>
  <c r="G152" i="67" s="1"/>
  <c r="H151" i="67"/>
  <c r="H152" i="67" s="1"/>
  <c r="I151" i="67"/>
  <c r="I152" i="67" s="1"/>
  <c r="J151" i="67"/>
  <c r="J152" i="67" s="1"/>
  <c r="K151" i="67"/>
  <c r="K152" i="67" s="1"/>
  <c r="L151" i="67"/>
  <c r="L152" i="67" s="1"/>
  <c r="M151" i="67"/>
  <c r="N151" i="67"/>
  <c r="N152" i="67"/>
  <c r="O151" i="67"/>
  <c r="O152" i="67"/>
  <c r="P151" i="67"/>
  <c r="Q151" i="67"/>
  <c r="R151" i="67"/>
  <c r="S151" i="67"/>
  <c r="S152" i="67" s="1"/>
  <c r="T151" i="67"/>
  <c r="T152" i="67" s="1"/>
  <c r="U151" i="67"/>
  <c r="F152" i="67"/>
  <c r="M152" i="67"/>
  <c r="P152" i="67"/>
  <c r="Q152" i="67"/>
  <c r="R152" i="67"/>
  <c r="U152" i="67"/>
  <c r="B153" i="67"/>
  <c r="C153" i="67"/>
  <c r="D153" i="67"/>
  <c r="E153" i="67"/>
  <c r="F153" i="67"/>
  <c r="G153" i="67"/>
  <c r="H153" i="67"/>
  <c r="I153" i="67"/>
  <c r="J153" i="67"/>
  <c r="K153" i="67"/>
  <c r="L153" i="67"/>
  <c r="M153" i="67"/>
  <c r="N153" i="67"/>
  <c r="O153" i="67"/>
  <c r="P153" i="67"/>
  <c r="Q153" i="67"/>
  <c r="R153" i="67"/>
  <c r="S153" i="67"/>
  <c r="T153" i="67"/>
  <c r="U153" i="67"/>
  <c r="B155" i="67"/>
  <c r="C155" i="67"/>
  <c r="D155" i="67"/>
  <c r="O155" i="67"/>
  <c r="P155" i="67"/>
  <c r="R155" i="67"/>
  <c r="T155" i="67"/>
  <c r="B169" i="67"/>
  <c r="C169" i="67"/>
  <c r="D169" i="67"/>
  <c r="E169" i="67"/>
  <c r="F169" i="67"/>
  <c r="G169" i="67"/>
  <c r="H169" i="67"/>
  <c r="I169" i="67"/>
  <c r="J169" i="67"/>
  <c r="K169" i="67"/>
  <c r="L169" i="67"/>
  <c r="M169" i="67"/>
  <c r="N169" i="67"/>
  <c r="O169" i="67"/>
  <c r="P169" i="67"/>
  <c r="Q169" i="67"/>
  <c r="R169" i="67"/>
  <c r="S169" i="67"/>
  <c r="T169" i="67"/>
  <c r="U169" i="67"/>
  <c r="C227" i="67"/>
  <c r="D227" i="67"/>
  <c r="E227" i="67"/>
  <c r="F227" i="67"/>
  <c r="G227" i="67"/>
  <c r="H227" i="67"/>
  <c r="I227" i="67"/>
  <c r="J227" i="67"/>
  <c r="K227" i="67"/>
  <c r="L227" i="67"/>
  <c r="M227" i="67"/>
  <c r="N227" i="67"/>
  <c r="O227" i="67"/>
  <c r="P227" i="67"/>
  <c r="Q227" i="67"/>
  <c r="R227" i="67"/>
  <c r="S227" i="67"/>
  <c r="T227" i="67"/>
  <c r="U227" i="67"/>
  <c r="C228" i="67"/>
  <c r="D228" i="67"/>
  <c r="E228" i="67"/>
  <c r="F228" i="67"/>
  <c r="G228" i="67"/>
  <c r="H228" i="67"/>
  <c r="I228" i="67"/>
  <c r="J228" i="67"/>
  <c r="K228" i="67"/>
  <c r="L228" i="67"/>
  <c r="M228" i="67"/>
  <c r="N228" i="67"/>
  <c r="O228" i="67"/>
  <c r="P228" i="67"/>
  <c r="Q228" i="67"/>
  <c r="R228" i="67"/>
  <c r="S228" i="67"/>
  <c r="T228" i="67"/>
  <c r="U228" i="67"/>
  <c r="G230" i="67"/>
  <c r="H230" i="67"/>
  <c r="J230" i="67"/>
  <c r="T230" i="67"/>
  <c r="B231" i="67"/>
  <c r="C231" i="67"/>
  <c r="H231" i="67"/>
  <c r="J231" i="67"/>
  <c r="K231" i="67"/>
  <c r="L231" i="67"/>
  <c r="N231" i="67"/>
  <c r="P231" i="67"/>
  <c r="B232" i="67"/>
  <c r="D232" i="67"/>
  <c r="G232" i="67"/>
  <c r="H232" i="67"/>
  <c r="J232" i="67"/>
  <c r="O232" i="67"/>
  <c r="T232" i="67"/>
  <c r="B233" i="67"/>
  <c r="C233" i="67"/>
  <c r="D233" i="67"/>
  <c r="E233" i="67"/>
  <c r="F233" i="67"/>
  <c r="G233" i="67"/>
  <c r="H233" i="67"/>
  <c r="I233" i="67"/>
  <c r="J233" i="67"/>
  <c r="K233" i="67"/>
  <c r="L233" i="67"/>
  <c r="M233" i="67"/>
  <c r="N233" i="67"/>
  <c r="O233" i="67"/>
  <c r="P233" i="67"/>
  <c r="Q233" i="67"/>
  <c r="R233" i="67"/>
  <c r="S233" i="67"/>
  <c r="T233" i="67"/>
  <c r="U233" i="67"/>
  <c r="B234" i="67"/>
  <c r="C234" i="67"/>
  <c r="D234" i="67"/>
  <c r="F234" i="67"/>
  <c r="J234" i="67"/>
  <c r="L234" i="67"/>
  <c r="N234" i="67"/>
  <c r="T234" i="67"/>
  <c r="B235" i="67"/>
  <c r="C235" i="67"/>
  <c r="D235" i="67"/>
  <c r="E235" i="67"/>
  <c r="F235" i="67"/>
  <c r="G235" i="67"/>
  <c r="H235" i="67"/>
  <c r="I235" i="67"/>
  <c r="J235" i="67"/>
  <c r="K235" i="67"/>
  <c r="L235" i="67"/>
  <c r="M235" i="67"/>
  <c r="N235" i="67"/>
  <c r="O235" i="67"/>
  <c r="P235" i="67"/>
  <c r="Q235" i="67"/>
  <c r="R235" i="67"/>
  <c r="S235" i="67"/>
  <c r="T235" i="67"/>
  <c r="U235" i="67"/>
  <c r="H236" i="67"/>
  <c r="J236" i="67"/>
  <c r="K236" i="67"/>
  <c r="L236" i="67"/>
  <c r="T236" i="67"/>
  <c r="C238" i="67"/>
  <c r="F238" i="67"/>
  <c r="N238" i="67"/>
  <c r="P238" i="67"/>
  <c r="R238" i="67"/>
  <c r="T238" i="67"/>
  <c r="D239" i="67"/>
  <c r="F239" i="67"/>
  <c r="H239" i="67"/>
  <c r="K239" i="67"/>
  <c r="L239" i="67"/>
  <c r="N239" i="67"/>
  <c r="S239" i="67"/>
  <c r="B240" i="67"/>
  <c r="C240" i="67"/>
  <c r="J240" i="67"/>
  <c r="K240" i="67"/>
  <c r="S240" i="67"/>
  <c r="T240" i="67"/>
  <c r="B241" i="67"/>
  <c r="D241" i="67"/>
  <c r="R241" i="67"/>
  <c r="D242" i="67"/>
  <c r="G242" i="67"/>
  <c r="J242" i="67"/>
  <c r="L242" i="67"/>
  <c r="N242" i="67"/>
  <c r="P242" i="67"/>
  <c r="T242" i="67"/>
  <c r="G243" i="67"/>
  <c r="P243" i="67"/>
  <c r="S243" i="67"/>
  <c r="T243" i="67"/>
  <c r="D244" i="67"/>
  <c r="R244" i="67"/>
  <c r="T244" i="67"/>
  <c r="B245" i="67"/>
  <c r="D245" i="67"/>
  <c r="H245" i="67"/>
  <c r="K245" i="67"/>
  <c r="R245" i="67"/>
  <c r="B246" i="67"/>
  <c r="D246" i="67"/>
  <c r="G246" i="67"/>
  <c r="H246" i="67"/>
  <c r="J246" i="67"/>
  <c r="K246" i="67"/>
  <c r="L246" i="67"/>
  <c r="N246" i="67"/>
  <c r="O246" i="67"/>
  <c r="T246" i="67"/>
  <c r="C248" i="67"/>
  <c r="G248" i="67"/>
  <c r="H248" i="67"/>
  <c r="L248" i="67"/>
  <c r="R248" i="67"/>
  <c r="S248" i="67"/>
  <c r="T248" i="67"/>
  <c r="G250" i="67"/>
  <c r="J250" i="67"/>
  <c r="L250" i="67"/>
  <c r="N250" i="67"/>
  <c r="O250" i="67"/>
  <c r="R250" i="67"/>
  <c r="T250" i="67"/>
  <c r="D252" i="67"/>
  <c r="F252" i="67"/>
  <c r="H252" i="67"/>
  <c r="L252" i="67"/>
  <c r="O252" i="67"/>
  <c r="R252" i="67"/>
  <c r="S252" i="67"/>
  <c r="T252" i="67"/>
  <c r="B254" i="67"/>
  <c r="D254" i="67"/>
  <c r="J254" i="67"/>
  <c r="K254" i="67"/>
  <c r="P254" i="67"/>
  <c r="R254" i="67"/>
  <c r="S254" i="67"/>
  <c r="C256" i="67"/>
  <c r="J256" i="67"/>
  <c r="L256" i="67"/>
  <c r="R256" i="67"/>
  <c r="T256" i="67"/>
  <c r="B260" i="67"/>
  <c r="G260" i="67"/>
  <c r="H260" i="67"/>
  <c r="J260" i="67"/>
  <c r="N260" i="67"/>
  <c r="P260" i="67"/>
  <c r="R260" i="67"/>
  <c r="S260" i="67"/>
  <c r="T260" i="67"/>
  <c r="D264" i="67"/>
  <c r="G264" i="67"/>
  <c r="J264" i="67"/>
  <c r="K264" i="67"/>
  <c r="O264" i="67"/>
  <c r="B268" i="67"/>
  <c r="D268" i="67"/>
  <c r="G268" i="67"/>
  <c r="H268" i="67"/>
  <c r="J268" i="67"/>
  <c r="K268" i="67"/>
  <c r="N268" i="67"/>
  <c r="R268" i="67"/>
  <c r="T268" i="67"/>
  <c r="C273" i="67"/>
  <c r="C325" i="67" s="1"/>
  <c r="D273" i="67"/>
  <c r="D325" i="67" s="1"/>
  <c r="F273" i="67"/>
  <c r="F325" i="67" s="1"/>
  <c r="H273" i="67"/>
  <c r="H325" i="67" s="1"/>
  <c r="L273" i="67"/>
  <c r="L325" i="67" s="1"/>
  <c r="N273" i="67"/>
  <c r="N325" i="67" s="1"/>
  <c r="O273" i="67"/>
  <c r="O325" i="67" s="1"/>
  <c r="P273" i="67"/>
  <c r="P325" i="67" s="1"/>
  <c r="R273" i="67"/>
  <c r="R325" i="67" s="1"/>
  <c r="T273" i="67"/>
  <c r="T325" i="67" s="1"/>
  <c r="C274" i="67"/>
  <c r="D274" i="67"/>
  <c r="F274" i="67"/>
  <c r="G274" i="67"/>
  <c r="H274" i="67"/>
  <c r="K274" i="67"/>
  <c r="O274" i="67"/>
  <c r="T274" i="67"/>
  <c r="B276" i="67"/>
  <c r="F276" i="67"/>
  <c r="G276" i="67"/>
  <c r="K276" i="67"/>
  <c r="L276" i="67"/>
  <c r="N276" i="67"/>
  <c r="O276" i="67"/>
  <c r="S276" i="67"/>
  <c r="B278" i="67"/>
  <c r="D278" i="67"/>
  <c r="G278" i="67"/>
  <c r="J278" i="67"/>
  <c r="K278" i="67"/>
  <c r="P278" i="67"/>
  <c r="T278" i="67"/>
  <c r="C280" i="67"/>
  <c r="D280" i="67"/>
  <c r="F280" i="67"/>
  <c r="G280" i="67"/>
  <c r="H280" i="67"/>
  <c r="K280" i="67"/>
  <c r="O280" i="67"/>
  <c r="R280" i="67"/>
  <c r="T280" i="67"/>
  <c r="D282" i="67"/>
  <c r="H282" i="67"/>
  <c r="K282" i="67"/>
  <c r="T282" i="67"/>
  <c r="D284" i="67"/>
  <c r="H284" i="67"/>
  <c r="K284" i="67"/>
  <c r="N284" i="67"/>
  <c r="O284" i="67"/>
  <c r="B286" i="67"/>
  <c r="D286" i="67"/>
  <c r="H286" i="67"/>
  <c r="K286" i="67"/>
  <c r="L286" i="67"/>
  <c r="O286" i="67"/>
  <c r="T286" i="67"/>
  <c r="C288" i="67"/>
  <c r="D288" i="67"/>
  <c r="G288" i="67"/>
  <c r="J288" i="67"/>
  <c r="K288" i="67"/>
  <c r="L288" i="67"/>
  <c r="N288" i="67"/>
  <c r="R288" i="67"/>
  <c r="S288" i="67"/>
  <c r="B290" i="67"/>
  <c r="G290" i="67"/>
  <c r="H290" i="67"/>
  <c r="J290" i="67"/>
  <c r="K290" i="67"/>
  <c r="N290" i="67"/>
  <c r="O290" i="67"/>
  <c r="B291" i="67"/>
  <c r="C291" i="67"/>
  <c r="D291" i="67"/>
  <c r="D419" i="67" s="1"/>
  <c r="D420" i="67" s="1"/>
  <c r="E291" i="67"/>
  <c r="F291" i="67"/>
  <c r="G291" i="67"/>
  <c r="G419" i="67"/>
  <c r="H291" i="67"/>
  <c r="H419" i="67"/>
  <c r="H420" i="67" s="1"/>
  <c r="I291" i="67"/>
  <c r="I419" i="67" s="1"/>
  <c r="I420" i="67"/>
  <c r="J291" i="67"/>
  <c r="K291" i="67"/>
  <c r="K419" i="67" s="1"/>
  <c r="L291" i="67"/>
  <c r="L419" i="67" s="1"/>
  <c r="L420" i="67" s="1"/>
  <c r="M291" i="67"/>
  <c r="M419" i="67"/>
  <c r="M420" i="67" s="1"/>
  <c r="N291" i="67"/>
  <c r="O291" i="67"/>
  <c r="P291" i="67"/>
  <c r="P419" i="67" s="1"/>
  <c r="P420" i="67" s="1"/>
  <c r="Q291" i="67"/>
  <c r="Q419" i="67"/>
  <c r="Q420" i="67" s="1"/>
  <c r="R291" i="67"/>
  <c r="S291" i="67"/>
  <c r="T291" i="67"/>
  <c r="T419" i="67" s="1"/>
  <c r="T420" i="67" s="1"/>
  <c r="U291" i="67"/>
  <c r="B292" i="67"/>
  <c r="C292" i="67"/>
  <c r="D292" i="67"/>
  <c r="E292" i="67"/>
  <c r="F292" i="67"/>
  <c r="G292" i="67"/>
  <c r="H292" i="67"/>
  <c r="I292" i="67"/>
  <c r="J292" i="67"/>
  <c r="K292" i="67"/>
  <c r="L292" i="67"/>
  <c r="M292" i="67"/>
  <c r="N292" i="67"/>
  <c r="O292" i="67"/>
  <c r="P292" i="67"/>
  <c r="Q292" i="67"/>
  <c r="R292" i="67"/>
  <c r="S292" i="67"/>
  <c r="T292" i="67"/>
  <c r="U292" i="67"/>
  <c r="B293" i="67"/>
  <c r="C293" i="67"/>
  <c r="D293" i="67"/>
  <c r="E293" i="67"/>
  <c r="F293" i="67"/>
  <c r="G293" i="67"/>
  <c r="H293" i="67"/>
  <c r="I293" i="67"/>
  <c r="J293" i="67"/>
  <c r="K293" i="67"/>
  <c r="L293" i="67"/>
  <c r="M293" i="67"/>
  <c r="N293" i="67"/>
  <c r="O293" i="67"/>
  <c r="P293" i="67"/>
  <c r="Q293" i="67"/>
  <c r="R293" i="67"/>
  <c r="S293" i="67"/>
  <c r="T293" i="67"/>
  <c r="U293" i="67"/>
  <c r="B294" i="67"/>
  <c r="C294" i="67"/>
  <c r="D294" i="67"/>
  <c r="E294" i="67"/>
  <c r="F294" i="67"/>
  <c r="G294" i="67"/>
  <c r="H294" i="67"/>
  <c r="I294" i="67"/>
  <c r="J294" i="67"/>
  <c r="K294" i="67"/>
  <c r="L294" i="67"/>
  <c r="M294" i="67"/>
  <c r="N294" i="67"/>
  <c r="O294" i="67"/>
  <c r="P294" i="67"/>
  <c r="Q294" i="67"/>
  <c r="R294" i="67"/>
  <c r="S294" i="67"/>
  <c r="T294" i="67"/>
  <c r="U294" i="67"/>
  <c r="C302" i="67"/>
  <c r="D302" i="67"/>
  <c r="E302" i="67"/>
  <c r="F302" i="67"/>
  <c r="G302" i="67"/>
  <c r="H302" i="67"/>
  <c r="I302" i="67"/>
  <c r="J302" i="67"/>
  <c r="K302" i="67"/>
  <c r="L302" i="67"/>
  <c r="M302" i="67"/>
  <c r="N302" i="67"/>
  <c r="O302" i="67"/>
  <c r="P302" i="67"/>
  <c r="Q302" i="67"/>
  <c r="R302" i="67"/>
  <c r="S302" i="67"/>
  <c r="T302" i="67"/>
  <c r="U302" i="67"/>
  <c r="C303" i="67"/>
  <c r="D303" i="67"/>
  <c r="E303" i="67"/>
  <c r="F303" i="67"/>
  <c r="G303" i="67"/>
  <c r="H303" i="67"/>
  <c r="I303" i="67"/>
  <c r="J303" i="67"/>
  <c r="K303" i="67"/>
  <c r="L303" i="67"/>
  <c r="M303" i="67"/>
  <c r="N303" i="67"/>
  <c r="O303" i="67"/>
  <c r="P303" i="67"/>
  <c r="Q303" i="67"/>
  <c r="R303" i="67"/>
  <c r="S303" i="67"/>
  <c r="T303" i="67"/>
  <c r="U303" i="67"/>
  <c r="C304" i="67"/>
  <c r="D304" i="67"/>
  <c r="E304" i="67"/>
  <c r="F304" i="67"/>
  <c r="G304" i="67"/>
  <c r="H304" i="67"/>
  <c r="I304" i="67"/>
  <c r="J304" i="67"/>
  <c r="K304" i="67"/>
  <c r="L304" i="67"/>
  <c r="M304" i="67"/>
  <c r="N304" i="67"/>
  <c r="O304" i="67"/>
  <c r="P304" i="67"/>
  <c r="Q304" i="67"/>
  <c r="R304" i="67"/>
  <c r="S304" i="67"/>
  <c r="T304" i="67"/>
  <c r="U304" i="67"/>
  <c r="B305" i="67"/>
  <c r="C307" i="67"/>
  <c r="C309" i="67"/>
  <c r="D307" i="67"/>
  <c r="E307" i="67"/>
  <c r="F307" i="67"/>
  <c r="G307" i="67"/>
  <c r="G309" i="67" s="1"/>
  <c r="H307" i="67"/>
  <c r="I307" i="67"/>
  <c r="I309" i="67"/>
  <c r="J307" i="67"/>
  <c r="K307" i="67"/>
  <c r="L307" i="67"/>
  <c r="L309" i="67" s="1"/>
  <c r="M307" i="67"/>
  <c r="N307" i="67"/>
  <c r="O307" i="67"/>
  <c r="O309" i="67"/>
  <c r="P307" i="67"/>
  <c r="Q307" i="67"/>
  <c r="R307" i="67"/>
  <c r="R309" i="67" s="1"/>
  <c r="S307" i="67"/>
  <c r="S309" i="67" s="1"/>
  <c r="T307" i="67"/>
  <c r="U307" i="67"/>
  <c r="U309" i="67" s="1"/>
  <c r="C308" i="67"/>
  <c r="D308" i="67"/>
  <c r="E308" i="67"/>
  <c r="F308" i="67"/>
  <c r="G308" i="67"/>
  <c r="H308" i="67"/>
  <c r="H309" i="67"/>
  <c r="I308" i="67"/>
  <c r="J308" i="67"/>
  <c r="J309" i="67" s="1"/>
  <c r="K308" i="67"/>
  <c r="L308" i="67"/>
  <c r="M308" i="67"/>
  <c r="N308" i="67"/>
  <c r="N309" i="67" s="1"/>
  <c r="O308" i="67"/>
  <c r="P308" i="67"/>
  <c r="P309" i="67" s="1"/>
  <c r="Q308" i="67"/>
  <c r="R308" i="67"/>
  <c r="S308" i="67"/>
  <c r="T308" i="67"/>
  <c r="U308" i="67"/>
  <c r="B309" i="67"/>
  <c r="B310" i="67" s="1"/>
  <c r="F309" i="67"/>
  <c r="B314" i="67"/>
  <c r="C314" i="67"/>
  <c r="D314" i="67"/>
  <c r="E314" i="67"/>
  <c r="F314" i="67"/>
  <c r="G314" i="67"/>
  <c r="H314" i="67"/>
  <c r="I314" i="67"/>
  <c r="J314" i="67"/>
  <c r="K314" i="67"/>
  <c r="L314" i="67"/>
  <c r="M314" i="67"/>
  <c r="N314" i="67"/>
  <c r="O314" i="67"/>
  <c r="P314" i="67"/>
  <c r="Q314" i="67"/>
  <c r="R314" i="67"/>
  <c r="S314" i="67"/>
  <c r="T314" i="67"/>
  <c r="U314" i="67"/>
  <c r="B315" i="67"/>
  <c r="C315" i="67"/>
  <c r="D315" i="67"/>
  <c r="E315" i="67"/>
  <c r="F315" i="67"/>
  <c r="G315" i="67"/>
  <c r="H315" i="67"/>
  <c r="I315" i="67"/>
  <c r="J315" i="67"/>
  <c r="K315" i="67"/>
  <c r="L315" i="67"/>
  <c r="M315" i="67"/>
  <c r="N315" i="67"/>
  <c r="O315" i="67"/>
  <c r="P315" i="67"/>
  <c r="Q315" i="67"/>
  <c r="R315" i="67"/>
  <c r="S315" i="67"/>
  <c r="T315" i="67"/>
  <c r="U315" i="67"/>
  <c r="B316" i="67"/>
  <c r="C316" i="67"/>
  <c r="D316" i="67"/>
  <c r="E316" i="67"/>
  <c r="F316" i="67"/>
  <c r="G316" i="67"/>
  <c r="H316" i="67"/>
  <c r="I316" i="67"/>
  <c r="J316" i="67"/>
  <c r="K316" i="67"/>
  <c r="L316" i="67"/>
  <c r="M316" i="67"/>
  <c r="N316" i="67"/>
  <c r="O316" i="67"/>
  <c r="P316" i="67"/>
  <c r="Q316" i="67"/>
  <c r="R316" i="67"/>
  <c r="S316" i="67"/>
  <c r="T316" i="67"/>
  <c r="U316" i="67"/>
  <c r="B317" i="67"/>
  <c r="C317" i="67"/>
  <c r="D317" i="67"/>
  <c r="E317" i="67"/>
  <c r="F317" i="67"/>
  <c r="G317" i="67"/>
  <c r="H317" i="67"/>
  <c r="I317" i="67"/>
  <c r="J317" i="67"/>
  <c r="K317" i="67"/>
  <c r="L317" i="67"/>
  <c r="M317" i="67"/>
  <c r="N317" i="67"/>
  <c r="O317" i="67"/>
  <c r="P317" i="67"/>
  <c r="Q317" i="67"/>
  <c r="R317" i="67"/>
  <c r="S317" i="67"/>
  <c r="T317" i="67"/>
  <c r="U317" i="67"/>
  <c r="B330" i="67"/>
  <c r="C330" i="67"/>
  <c r="D330" i="67"/>
  <c r="E330" i="67"/>
  <c r="F330" i="67"/>
  <c r="G330" i="67"/>
  <c r="H330" i="67"/>
  <c r="I330" i="67"/>
  <c r="J330" i="67"/>
  <c r="K330" i="67"/>
  <c r="L330" i="67"/>
  <c r="M330" i="67"/>
  <c r="N330" i="67"/>
  <c r="O330" i="67"/>
  <c r="P330" i="67"/>
  <c r="Q330" i="67"/>
  <c r="R330" i="67"/>
  <c r="S330" i="67"/>
  <c r="T330" i="67"/>
  <c r="U330" i="67"/>
  <c r="B336" i="67"/>
  <c r="C336" i="67"/>
  <c r="D336" i="67"/>
  <c r="E336" i="67"/>
  <c r="F336" i="67"/>
  <c r="G336" i="67"/>
  <c r="H336" i="67"/>
  <c r="I336" i="67"/>
  <c r="J336" i="67"/>
  <c r="K336" i="67"/>
  <c r="L336" i="67"/>
  <c r="M336" i="67"/>
  <c r="N336" i="67"/>
  <c r="O336" i="67"/>
  <c r="P336" i="67"/>
  <c r="Q336" i="67"/>
  <c r="R336" i="67"/>
  <c r="S336" i="67"/>
  <c r="T336" i="67"/>
  <c r="U336" i="67"/>
  <c r="B338" i="67"/>
  <c r="C338" i="67"/>
  <c r="D338" i="67"/>
  <c r="E338" i="67"/>
  <c r="F338" i="67"/>
  <c r="G338" i="67"/>
  <c r="H338" i="67"/>
  <c r="I338" i="67"/>
  <c r="J338" i="67"/>
  <c r="K338" i="67"/>
  <c r="L338" i="67"/>
  <c r="M338" i="67"/>
  <c r="N338" i="67"/>
  <c r="O338" i="67"/>
  <c r="P338" i="67"/>
  <c r="Q338" i="67"/>
  <c r="R338" i="67"/>
  <c r="S338" i="67"/>
  <c r="T338" i="67"/>
  <c r="U338" i="67"/>
  <c r="B340" i="67"/>
  <c r="C340" i="67"/>
  <c r="D340" i="67"/>
  <c r="E340" i="67"/>
  <c r="F340" i="67"/>
  <c r="G340" i="67"/>
  <c r="H340" i="67"/>
  <c r="I340" i="67"/>
  <c r="J340" i="67"/>
  <c r="K340" i="67"/>
  <c r="L340" i="67"/>
  <c r="M340" i="67"/>
  <c r="N340" i="67"/>
  <c r="O340" i="67"/>
  <c r="P340" i="67"/>
  <c r="Q340" i="67"/>
  <c r="R340" i="67"/>
  <c r="S340" i="67"/>
  <c r="T340" i="67"/>
  <c r="U340" i="67"/>
  <c r="B342" i="67"/>
  <c r="C342" i="67"/>
  <c r="D342" i="67"/>
  <c r="E342" i="67"/>
  <c r="F342" i="67"/>
  <c r="G342" i="67"/>
  <c r="H342" i="67"/>
  <c r="I342" i="67"/>
  <c r="J342" i="67"/>
  <c r="K342" i="67"/>
  <c r="L342" i="67"/>
  <c r="M342" i="67"/>
  <c r="N342" i="67"/>
  <c r="O342" i="67"/>
  <c r="P342" i="67"/>
  <c r="Q342" i="67"/>
  <c r="R342" i="67"/>
  <c r="S342" i="67"/>
  <c r="T342" i="67"/>
  <c r="U342" i="67"/>
  <c r="B344" i="67"/>
  <c r="C344" i="67"/>
  <c r="D344" i="67"/>
  <c r="E344" i="67"/>
  <c r="F344" i="67"/>
  <c r="G344" i="67"/>
  <c r="H344" i="67"/>
  <c r="I344" i="67"/>
  <c r="J344" i="67"/>
  <c r="K344" i="67"/>
  <c r="L344" i="67"/>
  <c r="M344" i="67"/>
  <c r="N344" i="67"/>
  <c r="O344" i="67"/>
  <c r="P344" i="67"/>
  <c r="Q344" i="67"/>
  <c r="R344" i="67"/>
  <c r="S344" i="67"/>
  <c r="T344" i="67"/>
  <c r="U344" i="67"/>
  <c r="B346" i="67"/>
  <c r="C346" i="67"/>
  <c r="D346" i="67"/>
  <c r="E346" i="67"/>
  <c r="F346" i="67"/>
  <c r="G346" i="67"/>
  <c r="H346" i="67"/>
  <c r="I346" i="67"/>
  <c r="J346" i="67"/>
  <c r="K346" i="67"/>
  <c r="L346" i="67"/>
  <c r="M346" i="67"/>
  <c r="N346" i="67"/>
  <c r="O346" i="67"/>
  <c r="P346" i="67"/>
  <c r="Q346" i="67"/>
  <c r="R346" i="67"/>
  <c r="S346" i="67"/>
  <c r="T346" i="67"/>
  <c r="U346" i="67"/>
  <c r="B348" i="67"/>
  <c r="C348" i="67"/>
  <c r="D348" i="67"/>
  <c r="E348" i="67"/>
  <c r="F348" i="67"/>
  <c r="G348" i="67"/>
  <c r="H348" i="67"/>
  <c r="I348" i="67"/>
  <c r="J348" i="67"/>
  <c r="K348" i="67"/>
  <c r="L348" i="67"/>
  <c r="M348" i="67"/>
  <c r="N348" i="67"/>
  <c r="O348" i="67"/>
  <c r="P348" i="67"/>
  <c r="Q348" i="67"/>
  <c r="R348" i="67"/>
  <c r="S348" i="67"/>
  <c r="T348" i="67"/>
  <c r="U348" i="67"/>
  <c r="B363" i="67"/>
  <c r="C363" i="67"/>
  <c r="D363" i="67"/>
  <c r="E363" i="67"/>
  <c r="F363" i="67"/>
  <c r="G363" i="67"/>
  <c r="H363" i="67"/>
  <c r="I363" i="67"/>
  <c r="J363" i="67"/>
  <c r="K363" i="67"/>
  <c r="L363" i="67"/>
  <c r="M363" i="67"/>
  <c r="N363" i="67"/>
  <c r="O363" i="67"/>
  <c r="P363" i="67"/>
  <c r="Q363" i="67"/>
  <c r="R363" i="67"/>
  <c r="S363" i="67"/>
  <c r="T363" i="67"/>
  <c r="U363" i="67"/>
  <c r="B364" i="67"/>
  <c r="C364" i="67"/>
  <c r="D364" i="67"/>
  <c r="E364" i="67"/>
  <c r="F364" i="67"/>
  <c r="G364" i="67"/>
  <c r="H364" i="67"/>
  <c r="I364" i="67"/>
  <c r="J364" i="67"/>
  <c r="K364" i="67"/>
  <c r="L364" i="67"/>
  <c r="M364" i="67"/>
  <c r="N364" i="67"/>
  <c r="O364" i="67"/>
  <c r="P364" i="67"/>
  <c r="Q364" i="67"/>
  <c r="R364" i="67"/>
  <c r="S364" i="67"/>
  <c r="T364" i="67"/>
  <c r="U364" i="67"/>
  <c r="B365" i="67"/>
  <c r="C365" i="67"/>
  <c r="D365" i="67"/>
  <c r="E365" i="67"/>
  <c r="F365" i="67"/>
  <c r="G365" i="67"/>
  <c r="H365" i="67"/>
  <c r="I365" i="67"/>
  <c r="J365" i="67"/>
  <c r="K365" i="67"/>
  <c r="L365" i="67"/>
  <c r="M365" i="67"/>
  <c r="N365" i="67"/>
  <c r="O365" i="67"/>
  <c r="P365" i="67"/>
  <c r="Q365" i="67"/>
  <c r="R365" i="67"/>
  <c r="S365" i="67"/>
  <c r="T365" i="67"/>
  <c r="U365" i="67"/>
  <c r="B366" i="67"/>
  <c r="C366" i="67"/>
  <c r="D366" i="67"/>
  <c r="E366" i="67"/>
  <c r="F366" i="67"/>
  <c r="G366" i="67"/>
  <c r="H366" i="67"/>
  <c r="I366" i="67"/>
  <c r="J366" i="67"/>
  <c r="K366" i="67"/>
  <c r="L366" i="67"/>
  <c r="M366" i="67"/>
  <c r="N366" i="67"/>
  <c r="O366" i="67"/>
  <c r="P366" i="67"/>
  <c r="Q366" i="67"/>
  <c r="R366" i="67"/>
  <c r="S366" i="67"/>
  <c r="T366" i="67"/>
  <c r="U366" i="67"/>
  <c r="B367" i="67"/>
  <c r="C367" i="67"/>
  <c r="D367" i="67"/>
  <c r="E367" i="67"/>
  <c r="F367" i="67"/>
  <c r="G367" i="67"/>
  <c r="H367" i="67"/>
  <c r="I367" i="67"/>
  <c r="J367" i="67"/>
  <c r="K367" i="67"/>
  <c r="L367" i="67"/>
  <c r="M367" i="67"/>
  <c r="N367" i="67"/>
  <c r="O367" i="67"/>
  <c r="P367" i="67"/>
  <c r="Q367" i="67"/>
  <c r="R367" i="67"/>
  <c r="S367" i="67"/>
  <c r="T367" i="67"/>
  <c r="U367" i="67"/>
  <c r="B368" i="67"/>
  <c r="C368" i="67"/>
  <c r="D368" i="67"/>
  <c r="E368" i="67"/>
  <c r="F368" i="67"/>
  <c r="G368" i="67"/>
  <c r="H368" i="67"/>
  <c r="I368" i="67"/>
  <c r="J368" i="67"/>
  <c r="K368" i="67"/>
  <c r="L368" i="67"/>
  <c r="M368" i="67"/>
  <c r="N368" i="67"/>
  <c r="O368" i="67"/>
  <c r="P368" i="67"/>
  <c r="Q368" i="67"/>
  <c r="R368" i="67"/>
  <c r="S368" i="67"/>
  <c r="T368" i="67"/>
  <c r="U368" i="67"/>
  <c r="B369" i="67"/>
  <c r="C369" i="67"/>
  <c r="D369" i="67"/>
  <c r="E369" i="67"/>
  <c r="F369" i="67"/>
  <c r="G369" i="67"/>
  <c r="H369" i="67"/>
  <c r="I369" i="67"/>
  <c r="J369" i="67"/>
  <c r="K369" i="67"/>
  <c r="L369" i="67"/>
  <c r="M369" i="67"/>
  <c r="N369" i="67"/>
  <c r="O369" i="67"/>
  <c r="P369" i="67"/>
  <c r="Q369" i="67"/>
  <c r="R369" i="67"/>
  <c r="S369" i="67"/>
  <c r="T369" i="67"/>
  <c r="U369" i="67"/>
  <c r="B370" i="67"/>
  <c r="C370" i="67"/>
  <c r="D370" i="67"/>
  <c r="E370" i="67"/>
  <c r="F370" i="67"/>
  <c r="G370" i="67"/>
  <c r="H370" i="67"/>
  <c r="I370" i="67"/>
  <c r="J370" i="67"/>
  <c r="K370" i="67"/>
  <c r="L370" i="67"/>
  <c r="M370" i="67"/>
  <c r="N370" i="67"/>
  <c r="O370" i="67"/>
  <c r="P370" i="67"/>
  <c r="Q370" i="67"/>
  <c r="R370" i="67"/>
  <c r="S370" i="67"/>
  <c r="T370" i="67"/>
  <c r="U370" i="67"/>
  <c r="B371" i="67"/>
  <c r="C371" i="67"/>
  <c r="D371" i="67"/>
  <c r="E371" i="67"/>
  <c r="F371" i="67"/>
  <c r="G371" i="67"/>
  <c r="H371" i="67"/>
  <c r="I371" i="67"/>
  <c r="J371" i="67"/>
  <c r="K371" i="67"/>
  <c r="L371" i="67"/>
  <c r="M371" i="67"/>
  <c r="N371" i="67"/>
  <c r="O371" i="67"/>
  <c r="P371" i="67"/>
  <c r="Q371" i="67"/>
  <c r="R371" i="67"/>
  <c r="S371" i="67"/>
  <c r="T371" i="67"/>
  <c r="U371" i="67"/>
  <c r="B372" i="67"/>
  <c r="C372" i="67"/>
  <c r="D372" i="67"/>
  <c r="E372" i="67"/>
  <c r="F372" i="67"/>
  <c r="G372" i="67"/>
  <c r="H372" i="67"/>
  <c r="I372" i="67"/>
  <c r="J372" i="67"/>
  <c r="K372" i="67"/>
  <c r="L372" i="67"/>
  <c r="M372" i="67"/>
  <c r="N372" i="67"/>
  <c r="O372" i="67"/>
  <c r="P372" i="67"/>
  <c r="Q372" i="67"/>
  <c r="R372" i="67"/>
  <c r="S372" i="67"/>
  <c r="T372" i="67"/>
  <c r="U372" i="67"/>
  <c r="B373" i="67"/>
  <c r="C373" i="67"/>
  <c r="D373" i="67"/>
  <c r="E373" i="67"/>
  <c r="F373" i="67"/>
  <c r="G373" i="67"/>
  <c r="H373" i="67"/>
  <c r="I373" i="67"/>
  <c r="J373" i="67"/>
  <c r="K373" i="67"/>
  <c r="L373" i="67"/>
  <c r="M373" i="67"/>
  <c r="N373" i="67"/>
  <c r="O373" i="67"/>
  <c r="P373" i="67"/>
  <c r="Q373" i="67"/>
  <c r="R373" i="67"/>
  <c r="S373" i="67"/>
  <c r="T373" i="67"/>
  <c r="U373" i="67"/>
  <c r="B374" i="67"/>
  <c r="C374" i="67"/>
  <c r="D374" i="67"/>
  <c r="E374" i="67"/>
  <c r="F374" i="67"/>
  <c r="G374" i="67"/>
  <c r="H374" i="67"/>
  <c r="I374" i="67"/>
  <c r="J374" i="67"/>
  <c r="K374" i="67"/>
  <c r="L374" i="67"/>
  <c r="M374" i="67"/>
  <c r="N374" i="67"/>
  <c r="O374" i="67"/>
  <c r="P374" i="67"/>
  <c r="Q374" i="67"/>
  <c r="R374" i="67"/>
  <c r="S374" i="67"/>
  <c r="T374" i="67"/>
  <c r="U374" i="67"/>
  <c r="B375" i="67"/>
  <c r="C375" i="67"/>
  <c r="D375" i="67"/>
  <c r="E375" i="67"/>
  <c r="F375" i="67"/>
  <c r="G375" i="67"/>
  <c r="H375" i="67"/>
  <c r="I375" i="67"/>
  <c r="J375" i="67"/>
  <c r="K375" i="67"/>
  <c r="L375" i="67"/>
  <c r="M375" i="67"/>
  <c r="N375" i="67"/>
  <c r="O375" i="67"/>
  <c r="P375" i="67"/>
  <c r="Q375" i="67"/>
  <c r="R375" i="67"/>
  <c r="S375" i="67"/>
  <c r="T375" i="67"/>
  <c r="U375" i="67"/>
  <c r="B376" i="67"/>
  <c r="C376" i="67"/>
  <c r="D376" i="67"/>
  <c r="E376" i="67"/>
  <c r="F376" i="67"/>
  <c r="G376" i="67"/>
  <c r="H376" i="67"/>
  <c r="I376" i="67"/>
  <c r="J376" i="67"/>
  <c r="K376" i="67"/>
  <c r="L376" i="67"/>
  <c r="M376" i="67"/>
  <c r="N376" i="67"/>
  <c r="O376" i="67"/>
  <c r="P376" i="67"/>
  <c r="Q376" i="67"/>
  <c r="R376" i="67"/>
  <c r="S376" i="67"/>
  <c r="T376" i="67"/>
  <c r="U376" i="67"/>
  <c r="B377" i="67"/>
  <c r="C377" i="67"/>
  <c r="D377" i="67"/>
  <c r="D390" i="67" s="1"/>
  <c r="E377" i="67"/>
  <c r="F377" i="67"/>
  <c r="G377" i="67"/>
  <c r="H377" i="67"/>
  <c r="H390" i="67" s="1"/>
  <c r="I377" i="67"/>
  <c r="J377" i="67"/>
  <c r="K377" i="67"/>
  <c r="L377" i="67"/>
  <c r="M377" i="67"/>
  <c r="N377" i="67"/>
  <c r="O377" i="67"/>
  <c r="P377" i="67"/>
  <c r="Q377" i="67"/>
  <c r="Q390" i="67"/>
  <c r="R377" i="67"/>
  <c r="S377" i="67"/>
  <c r="T377" i="67"/>
  <c r="U377" i="67"/>
  <c r="B382" i="67"/>
  <c r="C382" i="67"/>
  <c r="C343" i="67" s="1"/>
  <c r="D382" i="67"/>
  <c r="E382" i="67"/>
  <c r="E384" i="67"/>
  <c r="E385" i="67" s="1"/>
  <c r="E387" i="67"/>
  <c r="E347" i="67" s="1"/>
  <c r="F382" i="67"/>
  <c r="F343" i="67" s="1"/>
  <c r="G382" i="67"/>
  <c r="H382" i="67"/>
  <c r="H343" i="67"/>
  <c r="I382" i="67"/>
  <c r="J382" i="67"/>
  <c r="J384" i="67" s="1"/>
  <c r="J385" i="67" s="1"/>
  <c r="J387" i="67" s="1"/>
  <c r="J347" i="67" s="1"/>
  <c r="K382" i="67"/>
  <c r="K343" i="67"/>
  <c r="L382" i="67"/>
  <c r="M382" i="67"/>
  <c r="N382" i="67"/>
  <c r="N388" i="67"/>
  <c r="N341" i="67" s="1"/>
  <c r="O382" i="67"/>
  <c r="O343" i="67" s="1"/>
  <c r="P382" i="67"/>
  <c r="Q382" i="67"/>
  <c r="Q384" i="67"/>
  <c r="Q385" i="67" s="1"/>
  <c r="Q387" i="67" s="1"/>
  <c r="Q347" i="67" s="1"/>
  <c r="Q343" i="67"/>
  <c r="R382" i="67"/>
  <c r="S382" i="67"/>
  <c r="T382" i="67"/>
  <c r="U382" i="67"/>
  <c r="B383" i="67"/>
  <c r="B389" i="67"/>
  <c r="B345" i="67" s="1"/>
  <c r="C383" i="67"/>
  <c r="C389" i="67"/>
  <c r="C345" i="67" s="1"/>
  <c r="D383" i="67"/>
  <c r="E383" i="67"/>
  <c r="F383" i="67"/>
  <c r="G383" i="67"/>
  <c r="H383" i="67"/>
  <c r="H389" i="67" s="1"/>
  <c r="H345" i="67" s="1"/>
  <c r="I383" i="67"/>
  <c r="I389" i="67"/>
  <c r="I345" i="67" s="1"/>
  <c r="J383" i="67"/>
  <c r="K383" i="67"/>
  <c r="K389" i="67"/>
  <c r="K345" i="67" s="1"/>
  <c r="L383" i="67"/>
  <c r="M383" i="67"/>
  <c r="M389" i="67"/>
  <c r="M345" i="67" s="1"/>
  <c r="N383" i="67"/>
  <c r="O383" i="67"/>
  <c r="P383" i="67"/>
  <c r="Q383" i="67"/>
  <c r="R383" i="67"/>
  <c r="S383" i="67"/>
  <c r="T383" i="67"/>
  <c r="T389" i="67" s="1"/>
  <c r="T345" i="67" s="1"/>
  <c r="U383" i="67"/>
  <c r="U389" i="67"/>
  <c r="U345" i="67" s="1"/>
  <c r="B386" i="67"/>
  <c r="B409" i="67"/>
  <c r="C386" i="67"/>
  <c r="D386" i="67"/>
  <c r="D409" i="67" s="1"/>
  <c r="E386" i="67"/>
  <c r="F386" i="67"/>
  <c r="G386" i="67"/>
  <c r="H386" i="67"/>
  <c r="I386" i="67"/>
  <c r="J386" i="67"/>
  <c r="K386" i="67"/>
  <c r="K409" i="67"/>
  <c r="L386" i="67"/>
  <c r="M386" i="67"/>
  <c r="M388" i="67" s="1"/>
  <c r="M341" i="67"/>
  <c r="N386" i="67"/>
  <c r="O386" i="67"/>
  <c r="O388" i="67" s="1"/>
  <c r="O341" i="67" s="1"/>
  <c r="P386" i="67"/>
  <c r="P409" i="67" s="1"/>
  <c r="Q386" i="67"/>
  <c r="Q406" i="67" s="1"/>
  <c r="R386" i="67"/>
  <c r="R409" i="67" s="1"/>
  <c r="S386" i="67"/>
  <c r="T386" i="67"/>
  <c r="T388" i="67"/>
  <c r="T341" i="67" s="1"/>
  <c r="U386" i="67"/>
  <c r="Q388" i="67"/>
  <c r="Q341" i="67" s="1"/>
  <c r="L390" i="67"/>
  <c r="B391" i="67"/>
  <c r="C391" i="67"/>
  <c r="D391" i="67"/>
  <c r="E391" i="67"/>
  <c r="F391" i="67"/>
  <c r="G391" i="67"/>
  <c r="H391" i="67"/>
  <c r="I391" i="67"/>
  <c r="J391" i="67"/>
  <c r="K391" i="67"/>
  <c r="L391" i="67"/>
  <c r="M391" i="67"/>
  <c r="N391" i="67"/>
  <c r="O391" i="67"/>
  <c r="P391" i="67"/>
  <c r="Q391" i="67"/>
  <c r="R391" i="67"/>
  <c r="S391" i="67"/>
  <c r="T391" i="67"/>
  <c r="U391" i="67"/>
  <c r="B395" i="67"/>
  <c r="C395" i="67"/>
  <c r="D395" i="67"/>
  <c r="E395" i="67"/>
  <c r="F395" i="67"/>
  <c r="G395" i="67"/>
  <c r="H395" i="67"/>
  <c r="I395" i="67"/>
  <c r="J395" i="67"/>
  <c r="K395" i="67"/>
  <c r="L395" i="67"/>
  <c r="M395" i="67"/>
  <c r="N395" i="67"/>
  <c r="O395" i="67"/>
  <c r="P395" i="67"/>
  <c r="Q395" i="67"/>
  <c r="R395" i="67"/>
  <c r="S395" i="67"/>
  <c r="T395" i="67"/>
  <c r="U395" i="67"/>
  <c r="B396" i="67"/>
  <c r="C396" i="67"/>
  <c r="D396" i="67"/>
  <c r="E396" i="67"/>
  <c r="F396" i="67"/>
  <c r="G396" i="67"/>
  <c r="H396" i="67"/>
  <c r="I396" i="67"/>
  <c r="J396" i="67"/>
  <c r="K396" i="67"/>
  <c r="L396" i="67"/>
  <c r="M396" i="67"/>
  <c r="N396" i="67"/>
  <c r="O396" i="67"/>
  <c r="P396" i="67"/>
  <c r="Q396" i="67"/>
  <c r="R396" i="67"/>
  <c r="S396" i="67"/>
  <c r="T396" i="67"/>
  <c r="U396" i="67"/>
  <c r="B397" i="67"/>
  <c r="C397" i="67"/>
  <c r="D397" i="67"/>
  <c r="E397" i="67"/>
  <c r="F397" i="67"/>
  <c r="G397" i="67"/>
  <c r="H397" i="67"/>
  <c r="I397" i="67"/>
  <c r="J397" i="67"/>
  <c r="K397" i="67"/>
  <c r="L397" i="67"/>
  <c r="M397" i="67"/>
  <c r="N397" i="67"/>
  <c r="O397" i="67"/>
  <c r="P397" i="67"/>
  <c r="Q397" i="67"/>
  <c r="R397" i="67"/>
  <c r="S397" i="67"/>
  <c r="T397" i="67"/>
  <c r="U397" i="67"/>
  <c r="B398" i="67"/>
  <c r="C398" i="67"/>
  <c r="D398" i="67"/>
  <c r="E398" i="67"/>
  <c r="F398" i="67"/>
  <c r="G398" i="67"/>
  <c r="H398" i="67"/>
  <c r="I398" i="67"/>
  <c r="J398" i="67"/>
  <c r="K398" i="67"/>
  <c r="L398" i="67"/>
  <c r="M398" i="67"/>
  <c r="N398" i="67"/>
  <c r="O398" i="67"/>
  <c r="P398" i="67"/>
  <c r="Q398" i="67"/>
  <c r="R398" i="67"/>
  <c r="S398" i="67"/>
  <c r="T398" i="67"/>
  <c r="U398" i="67"/>
  <c r="B405" i="67"/>
  <c r="C405" i="67"/>
  <c r="D405" i="67"/>
  <c r="E405" i="67"/>
  <c r="F405" i="67"/>
  <c r="G405" i="67"/>
  <c r="H405" i="67"/>
  <c r="I405" i="67"/>
  <c r="J405" i="67"/>
  <c r="K405" i="67"/>
  <c r="L405" i="67"/>
  <c r="M405" i="67"/>
  <c r="N405" i="67"/>
  <c r="O405" i="67"/>
  <c r="P405" i="67"/>
  <c r="Q405" i="67"/>
  <c r="R405" i="67"/>
  <c r="S405" i="67"/>
  <c r="T405" i="67"/>
  <c r="U405" i="67"/>
  <c r="B408" i="67"/>
  <c r="C408" i="67"/>
  <c r="D408" i="67"/>
  <c r="E408" i="67"/>
  <c r="F408" i="67"/>
  <c r="G408" i="67"/>
  <c r="H408" i="67"/>
  <c r="I408" i="67"/>
  <c r="J408" i="67"/>
  <c r="K408" i="67"/>
  <c r="L408" i="67"/>
  <c r="M408" i="67"/>
  <c r="N408" i="67"/>
  <c r="O408" i="67"/>
  <c r="P408" i="67"/>
  <c r="Q408" i="67"/>
  <c r="R408" i="67"/>
  <c r="S408" i="67"/>
  <c r="T408" i="67"/>
  <c r="U408" i="67"/>
  <c r="J409" i="67"/>
  <c r="N409" i="67"/>
  <c r="O409" i="67"/>
  <c r="T409" i="67"/>
  <c r="B419" i="67"/>
  <c r="B420" i="67" s="1"/>
  <c r="C419" i="67"/>
  <c r="C420" i="67" s="1"/>
  <c r="E419" i="67"/>
  <c r="E420" i="67" s="1"/>
  <c r="F419" i="67"/>
  <c r="F420" i="67" s="1"/>
  <c r="G420" i="67"/>
  <c r="J419" i="67"/>
  <c r="J420" i="67" s="1"/>
  <c r="K420" i="67"/>
  <c r="N419" i="67"/>
  <c r="N420" i="67"/>
  <c r="O419" i="67"/>
  <c r="O420" i="67"/>
  <c r="R419" i="67"/>
  <c r="S419" i="67"/>
  <c r="S420" i="67" s="1"/>
  <c r="U419" i="67"/>
  <c r="U420" i="67"/>
  <c r="R420" i="67"/>
  <c r="B439" i="67"/>
  <c r="C439" i="67"/>
  <c r="D439" i="67"/>
  <c r="E439" i="67"/>
  <c r="F439" i="67"/>
  <c r="G439" i="67"/>
  <c r="H439" i="67"/>
  <c r="I439" i="67"/>
  <c r="J439" i="67"/>
  <c r="K439" i="67"/>
  <c r="L439" i="67"/>
  <c r="M439" i="67"/>
  <c r="N439" i="67"/>
  <c r="O439" i="67"/>
  <c r="P439" i="67"/>
  <c r="Q439" i="67"/>
  <c r="R439" i="67"/>
  <c r="S439" i="67"/>
  <c r="T439" i="67"/>
  <c r="U439" i="67"/>
  <c r="B442" i="67"/>
  <c r="C442" i="67"/>
  <c r="D442" i="67"/>
  <c r="E442" i="67"/>
  <c r="F442" i="67"/>
  <c r="G442" i="67"/>
  <c r="H442" i="67"/>
  <c r="I442" i="67"/>
  <c r="J442" i="67"/>
  <c r="K442" i="67"/>
  <c r="L442" i="67"/>
  <c r="M442" i="67"/>
  <c r="N442" i="67"/>
  <c r="O442" i="67"/>
  <c r="P442" i="67"/>
  <c r="Q442" i="67"/>
  <c r="R442" i="67"/>
  <c r="S442" i="67"/>
  <c r="T442" i="67"/>
  <c r="U442" i="67"/>
  <c r="B443" i="67"/>
  <c r="C443" i="67"/>
  <c r="D443" i="67"/>
  <c r="E443" i="67"/>
  <c r="F443" i="67"/>
  <c r="G443" i="67"/>
  <c r="H443" i="67"/>
  <c r="H430" i="67" s="1"/>
  <c r="I443" i="67"/>
  <c r="J443" i="67"/>
  <c r="K443" i="67"/>
  <c r="L443" i="67"/>
  <c r="M443" i="67"/>
  <c r="N443" i="67"/>
  <c r="O443" i="67"/>
  <c r="P443" i="67"/>
  <c r="P430" i="67" s="1"/>
  <c r="Q443" i="67"/>
  <c r="R443" i="67"/>
  <c r="S443" i="67"/>
  <c r="T443" i="67"/>
  <c r="U443" i="67"/>
  <c r="L3" i="31"/>
  <c r="R3" i="31"/>
  <c r="T3" i="31"/>
  <c r="G4" i="31"/>
  <c r="H4" i="31"/>
  <c r="L4" i="31"/>
  <c r="G5" i="31"/>
  <c r="H5" i="31"/>
  <c r="L5" i="31"/>
  <c r="G6" i="31"/>
  <c r="H6" i="31"/>
  <c r="L6" i="31"/>
  <c r="G7" i="31"/>
  <c r="H7" i="31"/>
  <c r="L7" i="31"/>
  <c r="G8" i="31"/>
  <c r="H8" i="31"/>
  <c r="L8" i="31"/>
  <c r="G9" i="31"/>
  <c r="H9" i="31"/>
  <c r="L9" i="31"/>
  <c r="G10" i="31"/>
  <c r="I10" i="31"/>
  <c r="H10" i="31"/>
  <c r="L10" i="31"/>
  <c r="G11" i="31"/>
  <c r="H11" i="31"/>
  <c r="L11" i="31"/>
  <c r="G12" i="31"/>
  <c r="H12" i="31"/>
  <c r="L12" i="31"/>
  <c r="G13" i="31"/>
  <c r="H13" i="31"/>
  <c r="L13" i="31"/>
  <c r="G14" i="31"/>
  <c r="I14" i="31" s="1"/>
  <c r="H14" i="31"/>
  <c r="L14" i="31"/>
  <c r="G15" i="31"/>
  <c r="H15" i="31"/>
  <c r="L15" i="31"/>
  <c r="G16" i="31"/>
  <c r="I16" i="31"/>
  <c r="M16" i="31" s="1"/>
  <c r="H16" i="31"/>
  <c r="L16" i="31"/>
  <c r="G17" i="31"/>
  <c r="I17" i="31"/>
  <c r="H17" i="31"/>
  <c r="L17" i="31"/>
  <c r="G18" i="31"/>
  <c r="H18" i="31"/>
  <c r="I18" i="31" s="1"/>
  <c r="L18" i="31"/>
  <c r="D19" i="31"/>
  <c r="E19" i="31"/>
  <c r="F19" i="31"/>
  <c r="J19" i="31"/>
  <c r="K19" i="31"/>
  <c r="F23" i="31"/>
  <c r="B29" i="26"/>
  <c r="C29" i="26"/>
  <c r="D29" i="26"/>
  <c r="E29" i="26"/>
  <c r="F29" i="26"/>
  <c r="G29" i="26"/>
  <c r="H29" i="26"/>
  <c r="I29" i="26"/>
  <c r="J29" i="26"/>
  <c r="K29" i="26"/>
  <c r="L29" i="26"/>
  <c r="M29" i="26"/>
  <c r="N29" i="26"/>
  <c r="O29" i="26"/>
  <c r="P29" i="26"/>
  <c r="Q29" i="26"/>
  <c r="R29" i="26"/>
  <c r="S29" i="26"/>
  <c r="T29" i="26"/>
  <c r="U29" i="26"/>
  <c r="B39" i="26"/>
  <c r="C39" i="26"/>
  <c r="D39" i="26"/>
  <c r="E39" i="26"/>
  <c r="F39" i="26"/>
  <c r="G39" i="26"/>
  <c r="H39" i="26"/>
  <c r="I39" i="26"/>
  <c r="J39" i="26"/>
  <c r="K39" i="26"/>
  <c r="L39" i="26"/>
  <c r="M39" i="26"/>
  <c r="N39" i="26"/>
  <c r="O39" i="26"/>
  <c r="P39" i="26"/>
  <c r="Q39" i="26"/>
  <c r="R39" i="26"/>
  <c r="S39" i="26"/>
  <c r="T39" i="26"/>
  <c r="U39" i="26"/>
  <c r="C4" i="63"/>
  <c r="D4" i="63"/>
  <c r="D7" i="63"/>
  <c r="D9" i="63" s="1"/>
  <c r="E4" i="63"/>
  <c r="E7" i="63" s="1"/>
  <c r="E9" i="63"/>
  <c r="C16" i="63"/>
  <c r="D16" i="63"/>
  <c r="E16" i="63"/>
  <c r="C21" i="63"/>
  <c r="D21" i="63"/>
  <c r="E21" i="63"/>
  <c r="C24" i="63"/>
  <c r="C25" i="63" s="1"/>
  <c r="D24" i="63"/>
  <c r="E24" i="63"/>
  <c r="E25" i="63" s="1"/>
  <c r="E33" i="63"/>
  <c r="E38" i="63"/>
  <c r="E34" i="63"/>
  <c r="B1" i="7"/>
  <c r="B6" i="7"/>
  <c r="F6" i="7"/>
  <c r="G6" i="7"/>
  <c r="B9" i="7"/>
  <c r="C9" i="7"/>
  <c r="D9" i="7"/>
  <c r="E9" i="7"/>
  <c r="F9" i="7"/>
  <c r="G9" i="7"/>
  <c r="H9" i="7"/>
  <c r="I9" i="7"/>
  <c r="J9" i="7"/>
  <c r="K9" i="7"/>
  <c r="L9" i="7"/>
  <c r="M9" i="7"/>
  <c r="N9" i="7"/>
  <c r="O9" i="7"/>
  <c r="C10" i="7"/>
  <c r="D10" i="7"/>
  <c r="E10" i="7"/>
  <c r="F10" i="7"/>
  <c r="G10" i="7"/>
  <c r="H10" i="7"/>
  <c r="I10" i="7"/>
  <c r="J10" i="7"/>
  <c r="K10" i="7"/>
  <c r="L10" i="7"/>
  <c r="M10" i="7"/>
  <c r="N10" i="7"/>
  <c r="O10" i="7"/>
  <c r="C11" i="7"/>
  <c r="D11" i="7"/>
  <c r="E11" i="7"/>
  <c r="F11" i="7"/>
  <c r="G11" i="7"/>
  <c r="H11" i="7"/>
  <c r="I11" i="7"/>
  <c r="J11" i="7"/>
  <c r="K11" i="7"/>
  <c r="L11" i="7"/>
  <c r="M11" i="7"/>
  <c r="N11" i="7"/>
  <c r="O11" i="7"/>
  <c r="C13" i="7"/>
  <c r="C24" i="7" s="1"/>
  <c r="D13" i="7"/>
  <c r="D24" i="7"/>
  <c r="E13" i="7"/>
  <c r="E24" i="7"/>
  <c r="E42" i="7" s="1"/>
  <c r="F13" i="7"/>
  <c r="F24" i="7"/>
  <c r="G13" i="7"/>
  <c r="H13" i="7"/>
  <c r="H24" i="7" s="1"/>
  <c r="I13" i="7"/>
  <c r="I24" i="7" s="1"/>
  <c r="I42" i="7"/>
  <c r="J13" i="7"/>
  <c r="J24" i="7" s="1"/>
  <c r="K13" i="7"/>
  <c r="L13" i="7"/>
  <c r="L24" i="7"/>
  <c r="M13" i="7"/>
  <c r="M24" i="7" s="1"/>
  <c r="N13" i="7"/>
  <c r="N24" i="7"/>
  <c r="O13" i="7"/>
  <c r="O24" i="7" s="1"/>
  <c r="C14" i="7"/>
  <c r="D14" i="7"/>
  <c r="E14" i="7"/>
  <c r="F14" i="7"/>
  <c r="G14" i="7"/>
  <c r="H14" i="7"/>
  <c r="I14" i="7"/>
  <c r="J14" i="7"/>
  <c r="K14" i="7"/>
  <c r="L14" i="7"/>
  <c r="M14" i="7"/>
  <c r="N14" i="7"/>
  <c r="O14" i="7"/>
  <c r="C15" i="7"/>
  <c r="D15" i="7"/>
  <c r="E15" i="7"/>
  <c r="F15" i="7"/>
  <c r="G15" i="7"/>
  <c r="H15" i="7"/>
  <c r="I15" i="7"/>
  <c r="J15" i="7"/>
  <c r="K15" i="7"/>
  <c r="L15" i="7"/>
  <c r="M15" i="7"/>
  <c r="N15" i="7"/>
  <c r="O15" i="7"/>
  <c r="C16" i="7"/>
  <c r="D16" i="7"/>
  <c r="E16" i="7"/>
  <c r="F16" i="7"/>
  <c r="G16" i="7"/>
  <c r="H16" i="7"/>
  <c r="I16" i="7"/>
  <c r="J16" i="7"/>
  <c r="K16" i="7"/>
  <c r="L16" i="7"/>
  <c r="M16" i="7"/>
  <c r="N16" i="7"/>
  <c r="O16" i="7"/>
  <c r="C17" i="7"/>
  <c r="D17" i="7"/>
  <c r="E17" i="7"/>
  <c r="F17" i="7"/>
  <c r="G17" i="7"/>
  <c r="H17" i="7"/>
  <c r="I17" i="7"/>
  <c r="J17" i="7"/>
  <c r="K17" i="7"/>
  <c r="L17" i="7"/>
  <c r="M17" i="7"/>
  <c r="N17" i="7"/>
  <c r="O17" i="7"/>
  <c r="C18" i="7"/>
  <c r="D18" i="7"/>
  <c r="E18" i="7"/>
  <c r="F18" i="7"/>
  <c r="G18" i="7"/>
  <c r="H18" i="7"/>
  <c r="I18" i="7"/>
  <c r="J18" i="7"/>
  <c r="K18" i="7"/>
  <c r="L18" i="7"/>
  <c r="M18" i="7"/>
  <c r="N18" i="7"/>
  <c r="O18" i="7"/>
  <c r="C19" i="7"/>
  <c r="D19" i="7"/>
  <c r="E19" i="7"/>
  <c r="F19" i="7"/>
  <c r="G19" i="7"/>
  <c r="H19" i="7"/>
  <c r="I19" i="7"/>
  <c r="J19" i="7"/>
  <c r="K19" i="7"/>
  <c r="L19" i="7"/>
  <c r="M19" i="7"/>
  <c r="N19" i="7"/>
  <c r="O19" i="7"/>
  <c r="C20" i="7"/>
  <c r="D20" i="7"/>
  <c r="E20" i="7"/>
  <c r="F20" i="7"/>
  <c r="G20" i="7"/>
  <c r="H20" i="7"/>
  <c r="I20" i="7"/>
  <c r="J20" i="7"/>
  <c r="K20" i="7"/>
  <c r="L20" i="7"/>
  <c r="M20" i="7"/>
  <c r="N20" i="7"/>
  <c r="O20" i="7"/>
  <c r="C21" i="7"/>
  <c r="D21" i="7"/>
  <c r="E21" i="7"/>
  <c r="F21" i="7"/>
  <c r="G21" i="7"/>
  <c r="H21" i="7"/>
  <c r="I21" i="7"/>
  <c r="J21" i="7"/>
  <c r="K21" i="7"/>
  <c r="L21" i="7"/>
  <c r="M21" i="7"/>
  <c r="N21" i="7"/>
  <c r="O21" i="7"/>
  <c r="C22" i="7"/>
  <c r="D22" i="7"/>
  <c r="E22" i="7"/>
  <c r="F22" i="7"/>
  <c r="G22" i="7"/>
  <c r="H22" i="7"/>
  <c r="I22" i="7"/>
  <c r="J22" i="7"/>
  <c r="K22" i="7"/>
  <c r="L22" i="7"/>
  <c r="M22" i="7"/>
  <c r="N22" i="7"/>
  <c r="O22" i="7"/>
  <c r="G24" i="7"/>
  <c r="K24" i="7"/>
  <c r="C28" i="7"/>
  <c r="C40" i="7"/>
  <c r="D28" i="7"/>
  <c r="D40" i="7"/>
  <c r="E28" i="7"/>
  <c r="E40" i="7"/>
  <c r="F28" i="7"/>
  <c r="F40" i="7"/>
  <c r="F42" i="7"/>
  <c r="G28" i="7"/>
  <c r="G40" i="7" s="1"/>
  <c r="H28" i="7"/>
  <c r="H40" i="7" s="1"/>
  <c r="H42" i="7" s="1"/>
  <c r="I28" i="7"/>
  <c r="I40" i="7" s="1"/>
  <c r="J28" i="7"/>
  <c r="J40" i="7"/>
  <c r="K28" i="7"/>
  <c r="K40" i="7" s="1"/>
  <c r="K42" i="7" s="1"/>
  <c r="L28" i="7"/>
  <c r="L40" i="7"/>
  <c r="L42" i="7" s="1"/>
  <c r="M28" i="7"/>
  <c r="N28" i="7"/>
  <c r="O28" i="7"/>
  <c r="O40" i="7"/>
  <c r="C29" i="7"/>
  <c r="D29" i="7"/>
  <c r="E29" i="7"/>
  <c r="F29" i="7"/>
  <c r="G29" i="7"/>
  <c r="H29" i="7"/>
  <c r="I29" i="7"/>
  <c r="J29" i="7"/>
  <c r="K29" i="7"/>
  <c r="L29" i="7"/>
  <c r="M29" i="7"/>
  <c r="N29" i="7"/>
  <c r="O29" i="7"/>
  <c r="C30" i="7"/>
  <c r="D30" i="7"/>
  <c r="E30" i="7"/>
  <c r="F30" i="7"/>
  <c r="G30" i="7"/>
  <c r="H30" i="7"/>
  <c r="I30" i="7"/>
  <c r="J30" i="7"/>
  <c r="K30" i="7"/>
  <c r="L30" i="7"/>
  <c r="M30" i="7"/>
  <c r="N30" i="7"/>
  <c r="O30" i="7"/>
  <c r="C31" i="7"/>
  <c r="D31" i="7"/>
  <c r="E31" i="7"/>
  <c r="F31" i="7"/>
  <c r="G31" i="7"/>
  <c r="H31" i="7"/>
  <c r="I31" i="7"/>
  <c r="J31" i="7"/>
  <c r="K31" i="7"/>
  <c r="L31" i="7"/>
  <c r="M31" i="7"/>
  <c r="N31" i="7"/>
  <c r="O31" i="7"/>
  <c r="C33" i="7"/>
  <c r="D33" i="7"/>
  <c r="E33" i="7"/>
  <c r="F33" i="7"/>
  <c r="G33" i="7"/>
  <c r="H33" i="7"/>
  <c r="I33" i="7"/>
  <c r="J33" i="7"/>
  <c r="K33" i="7"/>
  <c r="L33" i="7"/>
  <c r="M33" i="7"/>
  <c r="N33" i="7"/>
  <c r="O33" i="7"/>
  <c r="C34" i="7"/>
  <c r="D34" i="7"/>
  <c r="E34" i="7"/>
  <c r="F34" i="7"/>
  <c r="G34" i="7"/>
  <c r="H34" i="7"/>
  <c r="I34" i="7"/>
  <c r="J34" i="7"/>
  <c r="K34" i="7"/>
  <c r="L34" i="7"/>
  <c r="M34" i="7"/>
  <c r="N34" i="7"/>
  <c r="O34" i="7"/>
  <c r="C35" i="7"/>
  <c r="D35" i="7"/>
  <c r="E35" i="7"/>
  <c r="F35" i="7"/>
  <c r="G35" i="7"/>
  <c r="H35" i="7"/>
  <c r="I35" i="7"/>
  <c r="J35" i="7"/>
  <c r="K35" i="7"/>
  <c r="L35" i="7"/>
  <c r="M35" i="7"/>
  <c r="N35" i="7"/>
  <c r="O35" i="7"/>
  <c r="C36" i="7"/>
  <c r="D36" i="7"/>
  <c r="E36" i="7"/>
  <c r="F36" i="7"/>
  <c r="G36" i="7"/>
  <c r="H36" i="7"/>
  <c r="I36" i="7"/>
  <c r="J36" i="7"/>
  <c r="K36" i="7"/>
  <c r="L36" i="7"/>
  <c r="M36" i="7"/>
  <c r="N36" i="7"/>
  <c r="O36" i="7"/>
  <c r="C37" i="7"/>
  <c r="D37" i="7"/>
  <c r="E37" i="7"/>
  <c r="F37" i="7"/>
  <c r="G37" i="7"/>
  <c r="H37" i="7"/>
  <c r="I37" i="7"/>
  <c r="J37" i="7"/>
  <c r="K37" i="7"/>
  <c r="L37" i="7"/>
  <c r="M37" i="7"/>
  <c r="N37" i="7"/>
  <c r="O37" i="7"/>
  <c r="C38" i="7"/>
  <c r="D38" i="7"/>
  <c r="E38" i="7"/>
  <c r="F38" i="7"/>
  <c r="G38" i="7"/>
  <c r="H38" i="7"/>
  <c r="I38" i="7"/>
  <c r="J38" i="7"/>
  <c r="K38" i="7"/>
  <c r="L38" i="7"/>
  <c r="M38" i="7"/>
  <c r="N38" i="7"/>
  <c r="O38" i="7"/>
  <c r="M40" i="7"/>
  <c r="N40" i="7"/>
  <c r="N42" i="7"/>
  <c r="C41" i="7"/>
  <c r="D41" i="7"/>
  <c r="E41" i="7"/>
  <c r="F41" i="7"/>
  <c r="G41" i="7"/>
  <c r="H41" i="7"/>
  <c r="I41" i="7"/>
  <c r="J41" i="7"/>
  <c r="K41" i="7"/>
  <c r="L41" i="7"/>
  <c r="M41" i="7"/>
  <c r="N41" i="7"/>
  <c r="O41" i="7"/>
  <c r="C44" i="7"/>
  <c r="D44" i="7"/>
  <c r="E44" i="7"/>
  <c r="F44" i="7"/>
  <c r="G44" i="7"/>
  <c r="H44" i="7"/>
  <c r="I44" i="7"/>
  <c r="J44" i="7"/>
  <c r="K44" i="7"/>
  <c r="L44" i="7"/>
  <c r="M44" i="7"/>
  <c r="N44" i="7"/>
  <c r="O44" i="7"/>
  <c r="C45" i="7"/>
  <c r="D45" i="7"/>
  <c r="E45" i="7"/>
  <c r="F45" i="7"/>
  <c r="G45" i="7"/>
  <c r="H45" i="7"/>
  <c r="I45" i="7"/>
  <c r="J45" i="7"/>
  <c r="K45" i="7"/>
  <c r="L45" i="7"/>
  <c r="M45" i="7"/>
  <c r="N45" i="7"/>
  <c r="O45" i="7"/>
  <c r="C47" i="7"/>
  <c r="D47" i="7"/>
  <c r="E47" i="7"/>
  <c r="F47" i="7"/>
  <c r="G47" i="7"/>
  <c r="H47" i="7"/>
  <c r="I47" i="7"/>
  <c r="J47" i="7"/>
  <c r="K47" i="7"/>
  <c r="L47" i="7"/>
  <c r="M47" i="7"/>
  <c r="N47" i="7"/>
  <c r="O47" i="7"/>
  <c r="C48" i="7"/>
  <c r="D48" i="7"/>
  <c r="E48" i="7"/>
  <c r="F48" i="7"/>
  <c r="G48" i="7"/>
  <c r="H48" i="7"/>
  <c r="I48" i="7"/>
  <c r="J48" i="7"/>
  <c r="K48" i="7"/>
  <c r="L48" i="7"/>
  <c r="M48" i="7"/>
  <c r="N48" i="7"/>
  <c r="O48" i="7"/>
  <c r="C49" i="7"/>
  <c r="D49" i="7"/>
  <c r="E49" i="7"/>
  <c r="F49" i="7"/>
  <c r="G49" i="7"/>
  <c r="H49" i="7"/>
  <c r="I49" i="7"/>
  <c r="J49" i="7"/>
  <c r="K49" i="7"/>
  <c r="L49" i="7"/>
  <c r="M49" i="7"/>
  <c r="N49" i="7"/>
  <c r="O49" i="7"/>
  <c r="C50" i="7"/>
  <c r="D50" i="7"/>
  <c r="E50" i="7"/>
  <c r="F50" i="7"/>
  <c r="G50" i="7"/>
  <c r="H50" i="7"/>
  <c r="I50" i="7"/>
  <c r="J50" i="7"/>
  <c r="K50" i="7"/>
  <c r="L50" i="7"/>
  <c r="M50" i="7"/>
  <c r="N50" i="7"/>
  <c r="O50" i="7"/>
  <c r="B53" i="7"/>
  <c r="B56" i="7"/>
  <c r="F56" i="7"/>
  <c r="G56" i="7"/>
  <c r="C58" i="7"/>
  <c r="D58" i="7"/>
  <c r="E58" i="7"/>
  <c r="F58" i="7"/>
  <c r="G58" i="7"/>
  <c r="H58" i="7"/>
  <c r="I58" i="7"/>
  <c r="J58" i="7"/>
  <c r="K58" i="7"/>
  <c r="L58" i="7"/>
  <c r="M58" i="7"/>
  <c r="N58" i="7"/>
  <c r="O58" i="7"/>
  <c r="P58" i="7"/>
  <c r="D59" i="7"/>
  <c r="E59" i="7"/>
  <c r="F59" i="7"/>
  <c r="G59" i="7"/>
  <c r="H59" i="7"/>
  <c r="I59" i="7"/>
  <c r="J59" i="7"/>
  <c r="K59" i="7"/>
  <c r="L59" i="7"/>
  <c r="M59" i="7"/>
  <c r="N59" i="7"/>
  <c r="O59" i="7"/>
  <c r="P59" i="7"/>
  <c r="D60" i="7"/>
  <c r="E60" i="7"/>
  <c r="F60" i="7"/>
  <c r="G60" i="7"/>
  <c r="H60" i="7"/>
  <c r="I60" i="7"/>
  <c r="J60" i="7"/>
  <c r="K60" i="7"/>
  <c r="L60" i="7"/>
  <c r="M60" i="7"/>
  <c r="N60" i="7"/>
  <c r="O60" i="7"/>
  <c r="P60" i="7"/>
  <c r="D62" i="7"/>
  <c r="E62" i="7"/>
  <c r="F62" i="7"/>
  <c r="G62" i="7"/>
  <c r="H62" i="7"/>
  <c r="I62" i="7"/>
  <c r="J62" i="7"/>
  <c r="K62" i="7"/>
  <c r="L62" i="7"/>
  <c r="M62" i="7"/>
  <c r="N62" i="7"/>
  <c r="O62" i="7"/>
  <c r="P62" i="7"/>
  <c r="D64" i="7"/>
  <c r="E64" i="7"/>
  <c r="F64" i="7"/>
  <c r="G64" i="7"/>
  <c r="H64" i="7"/>
  <c r="H77" i="7"/>
  <c r="I64" i="7"/>
  <c r="J64" i="7"/>
  <c r="K64" i="7"/>
  <c r="L64" i="7"/>
  <c r="M64" i="7"/>
  <c r="N64" i="7"/>
  <c r="O64" i="7"/>
  <c r="P64" i="7"/>
  <c r="D67" i="7"/>
  <c r="D75" i="7" s="1"/>
  <c r="D77" i="7" s="1"/>
  <c r="E67" i="7"/>
  <c r="E75" i="7"/>
  <c r="F67" i="7"/>
  <c r="F75" i="7" s="1"/>
  <c r="F77" i="7"/>
  <c r="G67" i="7"/>
  <c r="H67" i="7"/>
  <c r="H75" i="7" s="1"/>
  <c r="I67" i="7"/>
  <c r="I75" i="7" s="1"/>
  <c r="J67" i="7"/>
  <c r="J75" i="7" s="1"/>
  <c r="K67" i="7"/>
  <c r="K75" i="7"/>
  <c r="L67" i="7"/>
  <c r="L75" i="7" s="1"/>
  <c r="M67" i="7"/>
  <c r="M75" i="7"/>
  <c r="N67" i="7"/>
  <c r="N75" i="7" s="1"/>
  <c r="O67" i="7"/>
  <c r="P67" i="7"/>
  <c r="P75" i="7"/>
  <c r="D68" i="7"/>
  <c r="E68" i="7"/>
  <c r="F68" i="7"/>
  <c r="G68" i="7"/>
  <c r="H68" i="7"/>
  <c r="I68" i="7"/>
  <c r="J68" i="7"/>
  <c r="K68" i="7"/>
  <c r="L68" i="7"/>
  <c r="M68" i="7"/>
  <c r="N68" i="7"/>
  <c r="O68" i="7"/>
  <c r="P68" i="7"/>
  <c r="D71" i="7"/>
  <c r="E71" i="7"/>
  <c r="F71" i="7"/>
  <c r="G71" i="7"/>
  <c r="H71" i="7"/>
  <c r="I71" i="7"/>
  <c r="J71" i="7"/>
  <c r="K71" i="7"/>
  <c r="L71" i="7"/>
  <c r="M71" i="7"/>
  <c r="N71" i="7"/>
  <c r="O71" i="7"/>
  <c r="P71" i="7"/>
  <c r="G75" i="7"/>
  <c r="O75" i="7"/>
  <c r="C80" i="7"/>
  <c r="M80" i="7"/>
  <c r="M86" i="7" s="1"/>
  <c r="C81" i="7"/>
  <c r="C82" i="7"/>
  <c r="D82" i="7" s="1"/>
  <c r="E82" i="7"/>
  <c r="P82" i="7"/>
  <c r="D83" i="7"/>
  <c r="E83" i="7"/>
  <c r="F83" i="7"/>
  <c r="G83" i="7"/>
  <c r="H83" i="7"/>
  <c r="I83" i="7"/>
  <c r="J83" i="7"/>
  <c r="K83" i="7"/>
  <c r="L83" i="7"/>
  <c r="M83" i="7"/>
  <c r="N83" i="7"/>
  <c r="O83" i="7"/>
  <c r="P83" i="7"/>
  <c r="C84" i="7"/>
  <c r="I84" i="7"/>
  <c r="D84" i="7"/>
  <c r="J84" i="7"/>
  <c r="P84" i="7"/>
  <c r="D85" i="7"/>
  <c r="D74" i="7"/>
  <c r="Q74" i="7"/>
  <c r="E85" i="7"/>
  <c r="E74" i="7"/>
  <c r="F85" i="7"/>
  <c r="F74" i="7"/>
  <c r="G85" i="7"/>
  <c r="G74" i="7"/>
  <c r="H85" i="7"/>
  <c r="H74" i="7"/>
  <c r="I85" i="7"/>
  <c r="I74" i="7"/>
  <c r="J85" i="7"/>
  <c r="J74" i="7"/>
  <c r="K85" i="7"/>
  <c r="K74" i="7"/>
  <c r="L85" i="7"/>
  <c r="L74" i="7"/>
  <c r="M85" i="7"/>
  <c r="M74" i="7"/>
  <c r="N85" i="7"/>
  <c r="N74" i="7"/>
  <c r="O85" i="7"/>
  <c r="O74" i="7"/>
  <c r="P85" i="7"/>
  <c r="P74" i="7"/>
  <c r="D90" i="7"/>
  <c r="E90" i="7"/>
  <c r="F90" i="7"/>
  <c r="G90" i="7"/>
  <c r="H90" i="7"/>
  <c r="I90" i="7"/>
  <c r="J90" i="7"/>
  <c r="K90" i="7"/>
  <c r="L90" i="7"/>
  <c r="M90" i="7"/>
  <c r="N90" i="7"/>
  <c r="O90" i="7"/>
  <c r="P90" i="7"/>
  <c r="D92" i="7"/>
  <c r="E92" i="7"/>
  <c r="F92" i="7"/>
  <c r="G92" i="7"/>
  <c r="H92" i="7"/>
  <c r="I92" i="7"/>
  <c r="J92" i="7"/>
  <c r="K92" i="7"/>
  <c r="L92" i="7"/>
  <c r="M92" i="7"/>
  <c r="N92" i="7"/>
  <c r="O92" i="7"/>
  <c r="P92" i="7"/>
  <c r="B96" i="7"/>
  <c r="C96" i="7"/>
  <c r="D96" i="7"/>
  <c r="E96" i="7"/>
  <c r="F96" i="7"/>
  <c r="G96" i="7"/>
  <c r="H96" i="7"/>
  <c r="I96" i="7"/>
  <c r="J96" i="7"/>
  <c r="K96" i="7"/>
  <c r="L96" i="7"/>
  <c r="M96" i="7"/>
  <c r="N96" i="7"/>
  <c r="O96" i="7"/>
  <c r="P96" i="7"/>
  <c r="C97" i="7"/>
  <c r="D97" i="7"/>
  <c r="E97" i="7"/>
  <c r="F97" i="7"/>
  <c r="G97" i="7"/>
  <c r="H97" i="7"/>
  <c r="I97" i="7"/>
  <c r="J97" i="7"/>
  <c r="K97" i="7"/>
  <c r="L97" i="7"/>
  <c r="M97" i="7"/>
  <c r="N97" i="7"/>
  <c r="O97" i="7"/>
  <c r="P97" i="7"/>
  <c r="C98" i="7"/>
  <c r="D98" i="7"/>
  <c r="E98" i="7"/>
  <c r="F98" i="7"/>
  <c r="G98" i="7"/>
  <c r="H98" i="7"/>
  <c r="I98" i="7"/>
  <c r="J98" i="7"/>
  <c r="K98" i="7"/>
  <c r="L98" i="7"/>
  <c r="M98" i="7"/>
  <c r="N98" i="7"/>
  <c r="O98" i="7"/>
  <c r="P98" i="7"/>
  <c r="C100" i="7"/>
  <c r="D100" i="7"/>
  <c r="D102" i="7"/>
  <c r="E100" i="7"/>
  <c r="F100" i="7"/>
  <c r="G100" i="7"/>
  <c r="G102" i="7"/>
  <c r="H100" i="7"/>
  <c r="I100" i="7"/>
  <c r="J100" i="7"/>
  <c r="J102" i="7"/>
  <c r="K100" i="7"/>
  <c r="L100" i="7"/>
  <c r="M100" i="7"/>
  <c r="N100" i="7"/>
  <c r="N102" i="7" s="1"/>
  <c r="O100" i="7"/>
  <c r="P100" i="7"/>
  <c r="P102" i="7" s="1"/>
  <c r="C101" i="7"/>
  <c r="D101" i="7"/>
  <c r="E101" i="7"/>
  <c r="E102" i="7"/>
  <c r="F101" i="7"/>
  <c r="F102" i="7" s="1"/>
  <c r="G101" i="7"/>
  <c r="H101" i="7"/>
  <c r="H102" i="7"/>
  <c r="I101" i="7"/>
  <c r="I102" i="7" s="1"/>
  <c r="J101" i="7"/>
  <c r="K101" i="7"/>
  <c r="K102" i="7" s="1"/>
  <c r="L101" i="7"/>
  <c r="L102" i="7"/>
  <c r="M101" i="7"/>
  <c r="N101" i="7"/>
  <c r="O101" i="7"/>
  <c r="O102" i="7" s="1"/>
  <c r="P101" i="7"/>
  <c r="C103" i="7"/>
  <c r="D103" i="7"/>
  <c r="E103" i="7"/>
  <c r="F103" i="7"/>
  <c r="G103" i="7"/>
  <c r="H103" i="7"/>
  <c r="I103" i="7"/>
  <c r="J103" i="7"/>
  <c r="K103" i="7"/>
  <c r="L103" i="7"/>
  <c r="M103" i="7"/>
  <c r="N103" i="7"/>
  <c r="O103" i="7"/>
  <c r="P103" i="7"/>
  <c r="D9" i="62"/>
  <c r="E9" i="62" s="1"/>
  <c r="F9" i="62" s="1"/>
  <c r="C15" i="62"/>
  <c r="C24" i="62"/>
  <c r="C199" i="62" s="1"/>
  <c r="C36" i="62"/>
  <c r="D36" i="62"/>
  <c r="C28" i="45" s="1"/>
  <c r="E36" i="62"/>
  <c r="D28" i="45" s="1"/>
  <c r="G36" i="62"/>
  <c r="F28" i="45" s="1"/>
  <c r="H36" i="62"/>
  <c r="I36" i="62"/>
  <c r="H28" i="45" s="1"/>
  <c r="J36" i="62"/>
  <c r="I28" i="45" s="1"/>
  <c r="K36" i="62"/>
  <c r="J28" i="45" s="1"/>
  <c r="L36" i="62"/>
  <c r="M36" i="62"/>
  <c r="L28" i="45" s="1"/>
  <c r="N36" i="62"/>
  <c r="M28" i="45" s="1"/>
  <c r="O36" i="62"/>
  <c r="N28" i="45" s="1"/>
  <c r="P36" i="62"/>
  <c r="Q36" i="62"/>
  <c r="P28" i="45" s="1"/>
  <c r="R36" i="62"/>
  <c r="S36" i="62"/>
  <c r="R28" i="45" s="1"/>
  <c r="T36" i="62"/>
  <c r="U36" i="62"/>
  <c r="T28" i="45" s="1"/>
  <c r="V36" i="62"/>
  <c r="U28" i="45" s="1"/>
  <c r="C38" i="62"/>
  <c r="B32" i="45" s="1"/>
  <c r="D38" i="62"/>
  <c r="E38" i="62"/>
  <c r="D32" i="45" s="1"/>
  <c r="G38" i="62"/>
  <c r="F32" i="45" s="1"/>
  <c r="H38" i="62"/>
  <c r="G32" i="45" s="1"/>
  <c r="I38" i="62"/>
  <c r="H32" i="45" s="1"/>
  <c r="J38" i="62"/>
  <c r="I32" i="45" s="1"/>
  <c r="K38" i="62"/>
  <c r="J32" i="45" s="1"/>
  <c r="L38" i="62"/>
  <c r="K32" i="45" s="1"/>
  <c r="M38" i="62"/>
  <c r="L32" i="45" s="1"/>
  <c r="N38" i="62"/>
  <c r="M32" i="45" s="1"/>
  <c r="O38" i="62"/>
  <c r="P38" i="62"/>
  <c r="Q38" i="62"/>
  <c r="P32" i="45" s="1"/>
  <c r="R38" i="62"/>
  <c r="Q32" i="45" s="1"/>
  <c r="S38" i="62"/>
  <c r="R32" i="45" s="1"/>
  <c r="T38" i="62"/>
  <c r="S32" i="45" s="1"/>
  <c r="U38" i="62"/>
  <c r="T32" i="45" s="1"/>
  <c r="V38" i="62"/>
  <c r="C42" i="62"/>
  <c r="D42" i="62"/>
  <c r="E42" i="62"/>
  <c r="G42" i="62"/>
  <c r="F50" i="67" s="1"/>
  <c r="F272" i="67" s="1"/>
  <c r="H42" i="62"/>
  <c r="H62" i="62" s="1"/>
  <c r="G48" i="67" s="1"/>
  <c r="G270" i="67" s="1"/>
  <c r="I42" i="62"/>
  <c r="H40" i="45" s="1"/>
  <c r="J42" i="62"/>
  <c r="K42" i="62"/>
  <c r="J50" i="67"/>
  <c r="J272" i="67" s="1"/>
  <c r="K202" i="62"/>
  <c r="L42" i="62"/>
  <c r="K50" i="67" s="1"/>
  <c r="K272" i="67" s="1"/>
  <c r="M42" i="62"/>
  <c r="N42" i="62"/>
  <c r="O42" i="62"/>
  <c r="P42" i="62"/>
  <c r="O50" i="67"/>
  <c r="O272" i="67" s="1"/>
  <c r="Q42" i="62"/>
  <c r="R42" i="62"/>
  <c r="Q50" i="67" s="1"/>
  <c r="Q272" i="67" s="1"/>
  <c r="S42" i="62"/>
  <c r="S62" i="62" s="1"/>
  <c r="R48" i="67" s="1"/>
  <c r="R270" i="67" s="1"/>
  <c r="R50" i="67"/>
  <c r="R272" i="67" s="1"/>
  <c r="T42" i="62"/>
  <c r="T62" i="62" s="1"/>
  <c r="S48" i="67" s="1"/>
  <c r="S270" i="67" s="1"/>
  <c r="U42" i="62"/>
  <c r="V42" i="62"/>
  <c r="C57" i="62"/>
  <c r="B36" i="67" s="1"/>
  <c r="B258" i="67" s="1"/>
  <c r="D57" i="62"/>
  <c r="C36" i="67"/>
  <c r="C258" i="67" s="1"/>
  <c r="E57" i="62"/>
  <c r="D36" i="67" s="1"/>
  <c r="D258" i="67" s="1"/>
  <c r="E36" i="67"/>
  <c r="E258" i="67"/>
  <c r="G57" i="62"/>
  <c r="F36" i="67" s="1"/>
  <c r="F258" i="67" s="1"/>
  <c r="H57" i="62"/>
  <c r="G36" i="67" s="1"/>
  <c r="G258" i="67"/>
  <c r="I57" i="62"/>
  <c r="H36" i="67"/>
  <c r="H258" i="67" s="1"/>
  <c r="J57" i="62"/>
  <c r="I36" i="67" s="1"/>
  <c r="I258" i="67" s="1"/>
  <c r="K57" i="62"/>
  <c r="J36" i="67" s="1"/>
  <c r="J258" i="67" s="1"/>
  <c r="L57" i="62"/>
  <c r="K36" i="67" s="1"/>
  <c r="K258" i="67" s="1"/>
  <c r="M57" i="62"/>
  <c r="L36" i="67" s="1"/>
  <c r="L258" i="67" s="1"/>
  <c r="N57" i="62"/>
  <c r="M36" i="67" s="1"/>
  <c r="M258" i="67" s="1"/>
  <c r="O57" i="62"/>
  <c r="N36" i="67" s="1"/>
  <c r="N258" i="67" s="1"/>
  <c r="P57" i="62"/>
  <c r="O36" i="67" s="1"/>
  <c r="O258" i="67" s="1"/>
  <c r="Q57" i="62"/>
  <c r="P36" i="67"/>
  <c r="P258" i="67" s="1"/>
  <c r="R57" i="62"/>
  <c r="Q36" i="67" s="1"/>
  <c r="Q258" i="67" s="1"/>
  <c r="S57" i="62"/>
  <c r="R36" i="67" s="1"/>
  <c r="R258" i="67" s="1"/>
  <c r="T57" i="62"/>
  <c r="S36" i="67"/>
  <c r="S258" i="67" s="1"/>
  <c r="U57" i="62"/>
  <c r="T36" i="67"/>
  <c r="T258" i="67" s="1"/>
  <c r="V57" i="62"/>
  <c r="U36" i="67" s="1"/>
  <c r="U258" i="67" s="1"/>
  <c r="C59" i="62"/>
  <c r="B40" i="67" s="1"/>
  <c r="B262" i="67" s="1"/>
  <c r="D59" i="62"/>
  <c r="C40" i="67" s="1"/>
  <c r="C262" i="67" s="1"/>
  <c r="E59" i="62"/>
  <c r="D40" i="67" s="1"/>
  <c r="D262" i="67" s="1"/>
  <c r="E40" i="67"/>
  <c r="E262" i="67" s="1"/>
  <c r="G59" i="62"/>
  <c r="F40" i="67" s="1"/>
  <c r="F262" i="67" s="1"/>
  <c r="H59" i="62"/>
  <c r="G40" i="67"/>
  <c r="G262" i="67"/>
  <c r="I59" i="62"/>
  <c r="H40" i="67" s="1"/>
  <c r="H262" i="67" s="1"/>
  <c r="J59" i="62"/>
  <c r="I40" i="67"/>
  <c r="I262" i="67" s="1"/>
  <c r="K59" i="62"/>
  <c r="J40" i="67" s="1"/>
  <c r="J262" i="67" s="1"/>
  <c r="L59" i="62"/>
  <c r="K40" i="67" s="1"/>
  <c r="K262" i="67" s="1"/>
  <c r="M59" i="62"/>
  <c r="L40" i="67" s="1"/>
  <c r="L262" i="67"/>
  <c r="N59" i="62"/>
  <c r="M40" i="67" s="1"/>
  <c r="M262" i="67" s="1"/>
  <c r="O59" i="62"/>
  <c r="N40" i="67" s="1"/>
  <c r="N262" i="67" s="1"/>
  <c r="P59" i="62"/>
  <c r="O40" i="67" s="1"/>
  <c r="O262" i="67" s="1"/>
  <c r="Q59" i="62"/>
  <c r="P40" i="67" s="1"/>
  <c r="P262" i="67" s="1"/>
  <c r="R59" i="62"/>
  <c r="Q40" i="67" s="1"/>
  <c r="Q262" i="67" s="1"/>
  <c r="S59" i="62"/>
  <c r="R40" i="67" s="1"/>
  <c r="R262" i="67" s="1"/>
  <c r="T59" i="62"/>
  <c r="S40" i="67"/>
  <c r="S262" i="67" s="1"/>
  <c r="U59" i="62"/>
  <c r="T40" i="67" s="1"/>
  <c r="T262" i="67" s="1"/>
  <c r="V59" i="62"/>
  <c r="U40" i="67"/>
  <c r="U262" i="67" s="1"/>
  <c r="C61" i="62"/>
  <c r="B44" i="67" s="1"/>
  <c r="B266" i="67" s="1"/>
  <c r="D61" i="62"/>
  <c r="C44" i="67"/>
  <c r="C266" i="67" s="1"/>
  <c r="E61" i="62"/>
  <c r="D44" i="67" s="1"/>
  <c r="D266" i="67" s="1"/>
  <c r="E44" i="67"/>
  <c r="E266" i="67" s="1"/>
  <c r="G61" i="62"/>
  <c r="F44" i="67" s="1"/>
  <c r="F266" i="67" s="1"/>
  <c r="H61" i="62"/>
  <c r="G44" i="67" s="1"/>
  <c r="G266" i="67" s="1"/>
  <c r="I61" i="62"/>
  <c r="H44" i="67" s="1"/>
  <c r="H266" i="67" s="1"/>
  <c r="J61" i="62"/>
  <c r="I44" i="67" s="1"/>
  <c r="I266" i="67" s="1"/>
  <c r="K61" i="62"/>
  <c r="J44" i="67"/>
  <c r="J266" i="67" s="1"/>
  <c r="L61" i="62"/>
  <c r="K44" i="67" s="1"/>
  <c r="K266" i="67" s="1"/>
  <c r="M61" i="62"/>
  <c r="L44" i="67" s="1"/>
  <c r="L266" i="67" s="1"/>
  <c r="N61" i="62"/>
  <c r="M44" i="67"/>
  <c r="M266" i="67" s="1"/>
  <c r="O61" i="62"/>
  <c r="N44" i="67" s="1"/>
  <c r="N266" i="67" s="1"/>
  <c r="P61" i="62"/>
  <c r="O44" i="67" s="1"/>
  <c r="O266" i="67" s="1"/>
  <c r="Q61" i="62"/>
  <c r="P44" i="67" s="1"/>
  <c r="P266" i="67" s="1"/>
  <c r="R61" i="62"/>
  <c r="Q44" i="67" s="1"/>
  <c r="Q266" i="67" s="1"/>
  <c r="S61" i="62"/>
  <c r="R44" i="67" s="1"/>
  <c r="R266" i="67" s="1"/>
  <c r="T61" i="62"/>
  <c r="S44" i="67" s="1"/>
  <c r="S266" i="67" s="1"/>
  <c r="U61" i="62"/>
  <c r="T44" i="67" s="1"/>
  <c r="T266" i="67" s="1"/>
  <c r="V61" i="62"/>
  <c r="U44" i="67" s="1"/>
  <c r="U266" i="67" s="1"/>
  <c r="L62" i="62"/>
  <c r="K48" i="67" s="1"/>
  <c r="K270" i="67" s="1"/>
  <c r="P62" i="62"/>
  <c r="O48" i="67" s="1"/>
  <c r="O270" i="67" s="1"/>
  <c r="R62" i="62"/>
  <c r="Q48" i="67" s="1"/>
  <c r="Q270" i="67" s="1"/>
  <c r="C67" i="62"/>
  <c r="B114" i="67" s="1"/>
  <c r="D67" i="62"/>
  <c r="C114" i="67" s="1"/>
  <c r="E67" i="62"/>
  <c r="E114" i="67"/>
  <c r="G67" i="62"/>
  <c r="H67" i="62"/>
  <c r="G114" i="67"/>
  <c r="I67" i="62"/>
  <c r="H100" i="45" s="1"/>
  <c r="J67" i="62"/>
  <c r="K67" i="62"/>
  <c r="J114" i="67"/>
  <c r="L67" i="62"/>
  <c r="K114" i="67" s="1"/>
  <c r="M67" i="62"/>
  <c r="N67" i="62"/>
  <c r="O67" i="62"/>
  <c r="N114" i="67" s="1"/>
  <c r="P67" i="62"/>
  <c r="O114" i="67" s="1"/>
  <c r="Q67" i="62"/>
  <c r="R67" i="62"/>
  <c r="Q114" i="67" s="1"/>
  <c r="S67" i="62"/>
  <c r="R114" i="67" s="1"/>
  <c r="T67" i="62"/>
  <c r="S114" i="67"/>
  <c r="U67" i="62"/>
  <c r="T114" i="67" s="1"/>
  <c r="V67" i="62"/>
  <c r="U114" i="67"/>
  <c r="C68" i="62"/>
  <c r="B116" i="67" s="1"/>
  <c r="D68" i="62"/>
  <c r="C116" i="67"/>
  <c r="E68" i="62"/>
  <c r="E116" i="67"/>
  <c r="G68" i="62"/>
  <c r="F116" i="67"/>
  <c r="H68" i="62"/>
  <c r="G116" i="67" s="1"/>
  <c r="I68" i="62"/>
  <c r="H116" i="67" s="1"/>
  <c r="J68" i="62"/>
  <c r="I116" i="67" s="1"/>
  <c r="K68" i="62"/>
  <c r="J116" i="67" s="1"/>
  <c r="L68" i="62"/>
  <c r="K116" i="67"/>
  <c r="M68" i="62"/>
  <c r="N68" i="62"/>
  <c r="M116" i="67" s="1"/>
  <c r="O68" i="62"/>
  <c r="N116" i="67"/>
  <c r="P68" i="62"/>
  <c r="O116" i="67" s="1"/>
  <c r="Q68" i="62"/>
  <c r="R68" i="62"/>
  <c r="S68" i="62"/>
  <c r="T68" i="62"/>
  <c r="S116" i="67" s="1"/>
  <c r="U68" i="62"/>
  <c r="T102" i="45" s="1"/>
  <c r="V68" i="62"/>
  <c r="C73" i="62"/>
  <c r="B126" i="67" s="1"/>
  <c r="D73" i="62"/>
  <c r="E73" i="62"/>
  <c r="D126" i="67"/>
  <c r="E126" i="67"/>
  <c r="G73" i="62"/>
  <c r="F126" i="67" s="1"/>
  <c r="H73" i="62"/>
  <c r="G126" i="67"/>
  <c r="I73" i="62"/>
  <c r="H112" i="45" s="1"/>
  <c r="J73" i="62"/>
  <c r="I126" i="67" s="1"/>
  <c r="K73" i="62"/>
  <c r="L73" i="62"/>
  <c r="K126" i="67" s="1"/>
  <c r="M73" i="62"/>
  <c r="N73" i="62"/>
  <c r="M126" i="67" s="1"/>
  <c r="O73" i="62"/>
  <c r="P73" i="62"/>
  <c r="O126" i="67"/>
  <c r="Q73" i="62"/>
  <c r="P112" i="45" s="1"/>
  <c r="R73" i="62"/>
  <c r="Q126" i="67" s="1"/>
  <c r="S73" i="62"/>
  <c r="R126" i="67" s="1"/>
  <c r="T73" i="62"/>
  <c r="U73" i="62"/>
  <c r="V73" i="62"/>
  <c r="U126" i="67" s="1"/>
  <c r="C200" i="62"/>
  <c r="D200" i="62"/>
  <c r="E200" i="62"/>
  <c r="G200" i="62"/>
  <c r="H200" i="62"/>
  <c r="I200" i="62"/>
  <c r="J200" i="62"/>
  <c r="K200" i="62"/>
  <c r="L200" i="62"/>
  <c r="M200" i="62"/>
  <c r="N200" i="62"/>
  <c r="O200" i="62"/>
  <c r="P200" i="62"/>
  <c r="Q200" i="62"/>
  <c r="R200" i="62"/>
  <c r="S200" i="62"/>
  <c r="T200" i="62"/>
  <c r="U200" i="62"/>
  <c r="V200" i="62"/>
  <c r="C201" i="62"/>
  <c r="D201" i="62"/>
  <c r="E201" i="62"/>
  <c r="G201" i="62"/>
  <c r="H201" i="62"/>
  <c r="I201" i="62"/>
  <c r="J201" i="62"/>
  <c r="K201" i="62"/>
  <c r="L201" i="62"/>
  <c r="M201" i="62"/>
  <c r="N201" i="62"/>
  <c r="O201" i="62"/>
  <c r="P201" i="62"/>
  <c r="Q201" i="62"/>
  <c r="R201" i="62"/>
  <c r="S201" i="62"/>
  <c r="T201" i="62"/>
  <c r="U201" i="62"/>
  <c r="V201" i="62"/>
  <c r="L202" i="62"/>
  <c r="P202" i="62"/>
  <c r="R202" i="62"/>
  <c r="V202" i="62"/>
  <c r="C203" i="62"/>
  <c r="D203" i="62"/>
  <c r="E203" i="62"/>
  <c r="G203" i="62"/>
  <c r="H203" i="62"/>
  <c r="I203" i="62"/>
  <c r="J203" i="62"/>
  <c r="K203" i="62"/>
  <c r="L203" i="62"/>
  <c r="M203" i="62"/>
  <c r="N203" i="62"/>
  <c r="O203" i="62"/>
  <c r="P203" i="62"/>
  <c r="Q203" i="62"/>
  <c r="R203" i="62"/>
  <c r="S203" i="62"/>
  <c r="T203" i="62"/>
  <c r="U203" i="62"/>
  <c r="V203" i="62"/>
  <c r="C204" i="62"/>
  <c r="D204" i="62"/>
  <c r="E204" i="62"/>
  <c r="G204" i="62"/>
  <c r="H204" i="62"/>
  <c r="I204" i="62"/>
  <c r="J204" i="62"/>
  <c r="K204" i="62"/>
  <c r="L204" i="62"/>
  <c r="M204" i="62"/>
  <c r="N204" i="62"/>
  <c r="O204" i="62"/>
  <c r="P204" i="62"/>
  <c r="Q204" i="62"/>
  <c r="R204" i="62"/>
  <c r="S204" i="62"/>
  <c r="T204" i="62"/>
  <c r="U204" i="62"/>
  <c r="V204" i="62"/>
  <c r="V2" i="51"/>
  <c r="V5" i="51"/>
  <c r="I19" i="51"/>
  <c r="W19" i="51"/>
  <c r="I20" i="51"/>
  <c r="L19" i="51"/>
  <c r="O19" i="51"/>
  <c r="B31" i="51"/>
  <c r="D31" i="51"/>
  <c r="F31" i="51"/>
  <c r="H31" i="51"/>
  <c r="J31" i="51"/>
  <c r="K31" i="51"/>
  <c r="M31" i="51"/>
  <c r="P31" i="51"/>
  <c r="B45" i="51"/>
  <c r="D45" i="51"/>
  <c r="F45" i="51"/>
  <c r="H45" i="51"/>
  <c r="J45" i="51"/>
  <c r="K45" i="51"/>
  <c r="M45" i="51"/>
  <c r="P45" i="51"/>
  <c r="B59" i="51"/>
  <c r="D59" i="51"/>
  <c r="F59" i="51"/>
  <c r="H59" i="51"/>
  <c r="J59" i="51"/>
  <c r="K59" i="51"/>
  <c r="M59" i="51"/>
  <c r="P59" i="51"/>
  <c r="B73" i="51"/>
  <c r="D73" i="51"/>
  <c r="F73" i="51"/>
  <c r="E132" i="45" s="1"/>
  <c r="H73" i="51"/>
  <c r="J73" i="51"/>
  <c r="K73" i="51"/>
  <c r="M73" i="51"/>
  <c r="P73" i="51"/>
  <c r="B87" i="51"/>
  <c r="D87" i="51"/>
  <c r="F87" i="51"/>
  <c r="H87" i="51"/>
  <c r="J87" i="51"/>
  <c r="K87" i="51"/>
  <c r="M87" i="51"/>
  <c r="P87" i="51"/>
  <c r="B101" i="51"/>
  <c r="D101" i="51"/>
  <c r="F101" i="51"/>
  <c r="H101" i="51"/>
  <c r="G10" i="51" s="1"/>
  <c r="G15" i="26" s="1"/>
  <c r="J101" i="51"/>
  <c r="K101" i="51"/>
  <c r="M101" i="51"/>
  <c r="P101" i="51"/>
  <c r="B115" i="51"/>
  <c r="D115" i="51"/>
  <c r="F115" i="51"/>
  <c r="H115" i="51"/>
  <c r="J115" i="51"/>
  <c r="K115" i="51"/>
  <c r="M115" i="51"/>
  <c r="P115" i="51"/>
  <c r="B129" i="51"/>
  <c r="D129" i="51"/>
  <c r="F129" i="51"/>
  <c r="H129" i="51"/>
  <c r="J129" i="51"/>
  <c r="K129" i="51"/>
  <c r="M129" i="51"/>
  <c r="P129" i="51"/>
  <c r="B143" i="51"/>
  <c r="D143" i="51"/>
  <c r="F143" i="51"/>
  <c r="H143" i="51"/>
  <c r="J143" i="51"/>
  <c r="K143" i="51"/>
  <c r="M143" i="51"/>
  <c r="P143" i="51"/>
  <c r="B157" i="51"/>
  <c r="D157" i="51"/>
  <c r="F157" i="51"/>
  <c r="K132" i="45" s="1"/>
  <c r="H157" i="51"/>
  <c r="J157" i="51"/>
  <c r="K157" i="51"/>
  <c r="M157" i="51"/>
  <c r="P157" i="51"/>
  <c r="B171" i="51"/>
  <c r="D171" i="51"/>
  <c r="F171" i="51"/>
  <c r="H171" i="51"/>
  <c r="J171" i="51"/>
  <c r="K171" i="51"/>
  <c r="M171" i="51"/>
  <c r="P171" i="51"/>
  <c r="B185" i="51"/>
  <c r="D185" i="51"/>
  <c r="F185" i="51"/>
  <c r="M132" i="45" s="1"/>
  <c r="H185" i="51"/>
  <c r="J185" i="51"/>
  <c r="K185" i="51"/>
  <c r="K299" i="51" s="1"/>
  <c r="K16" i="51" s="1"/>
  <c r="M185" i="51"/>
  <c r="M299" i="51" s="1"/>
  <c r="M16" i="51" s="1"/>
  <c r="P185" i="51"/>
  <c r="B199" i="51"/>
  <c r="D199" i="51"/>
  <c r="D299" i="51" s="1"/>
  <c r="E16" i="51" s="1"/>
  <c r="E19" i="51" s="1"/>
  <c r="N10" i="51"/>
  <c r="N15" i="26" s="1"/>
  <c r="F199" i="51"/>
  <c r="H199" i="51"/>
  <c r="J199" i="51"/>
  <c r="K199" i="51"/>
  <c r="M199" i="51"/>
  <c r="P199" i="51"/>
  <c r="B213" i="51"/>
  <c r="D213" i="51"/>
  <c r="F213" i="51"/>
  <c r="H213" i="51"/>
  <c r="J213" i="51"/>
  <c r="K213" i="51"/>
  <c r="M213" i="51"/>
  <c r="P213" i="51"/>
  <c r="B227" i="51"/>
  <c r="D227" i="51"/>
  <c r="F227" i="51"/>
  <c r="H227" i="51"/>
  <c r="J227" i="51"/>
  <c r="K227" i="51"/>
  <c r="M227" i="51"/>
  <c r="P227" i="51"/>
  <c r="B241" i="51"/>
  <c r="Q132" i="45" s="1"/>
  <c r="D241" i="51"/>
  <c r="F241" i="51"/>
  <c r="H241" i="51"/>
  <c r="J241" i="51"/>
  <c r="K241" i="51"/>
  <c r="M241" i="51"/>
  <c r="P241" i="51"/>
  <c r="B255" i="51"/>
  <c r="R132" i="45" s="1"/>
  <c r="D255" i="51"/>
  <c r="F255" i="51"/>
  <c r="H255" i="51"/>
  <c r="J255" i="51"/>
  <c r="K255" i="51"/>
  <c r="M255" i="51"/>
  <c r="P255" i="51"/>
  <c r="B269" i="51"/>
  <c r="D269" i="51"/>
  <c r="F269" i="51"/>
  <c r="H269" i="51"/>
  <c r="J269" i="51"/>
  <c r="K269" i="51"/>
  <c r="M269" i="51"/>
  <c r="P269" i="51"/>
  <c r="B283" i="51"/>
  <c r="D283" i="51"/>
  <c r="F283" i="51"/>
  <c r="H283" i="51"/>
  <c r="J283" i="51"/>
  <c r="K283" i="51"/>
  <c r="M283" i="51"/>
  <c r="P283" i="51"/>
  <c r="B297" i="51"/>
  <c r="U132" i="45" s="1"/>
  <c r="D297" i="51"/>
  <c r="F297" i="51"/>
  <c r="H297" i="51"/>
  <c r="J297" i="51"/>
  <c r="K297" i="51"/>
  <c r="M297" i="51"/>
  <c r="P297" i="51"/>
  <c r="C20" i="58"/>
  <c r="B164" i="67" s="1"/>
  <c r="D20" i="58"/>
  <c r="E20" i="58"/>
  <c r="F20" i="58"/>
  <c r="E164" i="45" s="1"/>
  <c r="G20" i="58"/>
  <c r="F164" i="45" s="1"/>
  <c r="H20" i="58"/>
  <c r="I20" i="58"/>
  <c r="J20" i="58"/>
  <c r="K20" i="58"/>
  <c r="L20" i="58"/>
  <c r="K38" i="47" s="1"/>
  <c r="M20" i="58"/>
  <c r="N20" i="58"/>
  <c r="O20" i="58"/>
  <c r="O47" i="58"/>
  <c r="P20" i="58"/>
  <c r="Q20" i="58"/>
  <c r="R20" i="58"/>
  <c r="R47" i="58" s="1"/>
  <c r="S20" i="58"/>
  <c r="T20" i="58"/>
  <c r="U20" i="58"/>
  <c r="V20" i="58"/>
  <c r="C45" i="58"/>
  <c r="B161" i="67" s="1"/>
  <c r="D45" i="58"/>
  <c r="E45" i="58"/>
  <c r="D161" i="67" s="1"/>
  <c r="F45" i="58"/>
  <c r="E161" i="67" s="1"/>
  <c r="G45" i="58"/>
  <c r="G47" i="58" s="1"/>
  <c r="N45" i="58"/>
  <c r="M161" i="67"/>
  <c r="N47" i="58"/>
  <c r="O45" i="58"/>
  <c r="N161" i="67" s="1"/>
  <c r="P45" i="58"/>
  <c r="P47" i="58" s="1"/>
  <c r="O161" i="67"/>
  <c r="Q45" i="58"/>
  <c r="R45" i="58"/>
  <c r="Q161" i="67"/>
  <c r="S45" i="58"/>
  <c r="R161" i="67"/>
  <c r="T45" i="58"/>
  <c r="T47" i="58" s="1"/>
  <c r="U45" i="58"/>
  <c r="V45" i="58"/>
  <c r="U161" i="67" s="1"/>
  <c r="V47" i="58"/>
  <c r="C77" i="58"/>
  <c r="C78" i="58" s="1"/>
  <c r="C4" i="55"/>
  <c r="F4" i="55"/>
  <c r="H4" i="55"/>
  <c r="I4" i="55"/>
  <c r="C5" i="55"/>
  <c r="F5" i="55"/>
  <c r="H5" i="55"/>
  <c r="I5" i="55"/>
  <c r="C6" i="55"/>
  <c r="F6" i="55"/>
  <c r="H6" i="55"/>
  <c r="I6" i="55"/>
  <c r="C7" i="55"/>
  <c r="F7" i="55"/>
  <c r="H7" i="55"/>
  <c r="I7" i="55"/>
  <c r="C8" i="55"/>
  <c r="F8" i="55"/>
  <c r="H8" i="55"/>
  <c r="I8" i="55"/>
  <c r="C9" i="55"/>
  <c r="F9" i="55"/>
  <c r="H9" i="55"/>
  <c r="I9" i="55"/>
  <c r="C10" i="55"/>
  <c r="F10" i="55"/>
  <c r="H10" i="55"/>
  <c r="I10" i="55"/>
  <c r="I15" i="55"/>
  <c r="I21" i="55"/>
  <c r="C12" i="55"/>
  <c r="F12" i="55"/>
  <c r="H12" i="55"/>
  <c r="I12" i="55"/>
  <c r="C13" i="55"/>
  <c r="F13" i="55"/>
  <c r="H13" i="55"/>
  <c r="I13" i="55"/>
  <c r="C14" i="55"/>
  <c r="F14" i="55"/>
  <c r="H14" i="55"/>
  <c r="I14" i="55"/>
  <c r="B15" i="55"/>
  <c r="D15" i="55"/>
  <c r="D21" i="55"/>
  <c r="E15" i="55"/>
  <c r="E21" i="55" s="1"/>
  <c r="G15" i="55"/>
  <c r="C16" i="55"/>
  <c r="F16" i="55"/>
  <c r="H16" i="55"/>
  <c r="I16" i="55"/>
  <c r="C17" i="55"/>
  <c r="F17" i="55"/>
  <c r="H17" i="55"/>
  <c r="I17" i="55"/>
  <c r="C18" i="55"/>
  <c r="F18" i="55"/>
  <c r="H18" i="55"/>
  <c r="I18" i="55"/>
  <c r="C19" i="55"/>
  <c r="F19" i="55"/>
  <c r="H19" i="55"/>
  <c r="I19" i="55"/>
  <c r="C20" i="55"/>
  <c r="F20" i="55"/>
  <c r="H20" i="55"/>
  <c r="I20" i="55"/>
  <c r="B21" i="55"/>
  <c r="G21" i="55"/>
  <c r="C22" i="55"/>
  <c r="F22" i="55"/>
  <c r="H22" i="55"/>
  <c r="I22" i="55"/>
  <c r="C23" i="55"/>
  <c r="F23" i="55"/>
  <c r="H23" i="55"/>
  <c r="H24" i="55" s="1"/>
  <c r="H32" i="55" s="1"/>
  <c r="H33" i="55" s="1"/>
  <c r="H36" i="55" s="1"/>
  <c r="I23" i="55"/>
  <c r="B24" i="55"/>
  <c r="D24" i="55"/>
  <c r="E24" i="55"/>
  <c r="G24" i="55"/>
  <c r="C25" i="55"/>
  <c r="F25" i="55"/>
  <c r="H25" i="55"/>
  <c r="H27" i="55" s="1"/>
  <c r="I25" i="55"/>
  <c r="C26" i="55"/>
  <c r="F26" i="55"/>
  <c r="H26" i="55"/>
  <c r="I26" i="55"/>
  <c r="I27" i="55" s="1"/>
  <c r="B27" i="55"/>
  <c r="D27" i="55"/>
  <c r="E27" i="55"/>
  <c r="F27" i="55"/>
  <c r="G27" i="55"/>
  <c r="C28" i="55"/>
  <c r="F28" i="55"/>
  <c r="H28" i="55"/>
  <c r="H30" i="55" s="1"/>
  <c r="I28" i="55"/>
  <c r="I30" i="55" s="1"/>
  <c r="C29" i="55"/>
  <c r="F29" i="55"/>
  <c r="H29" i="55"/>
  <c r="I29" i="55"/>
  <c r="B30" i="55"/>
  <c r="D30" i="55"/>
  <c r="E30" i="55"/>
  <c r="G30" i="55"/>
  <c r="F30" i="55" s="1"/>
  <c r="C31" i="55"/>
  <c r="F31" i="55"/>
  <c r="H31" i="55"/>
  <c r="I31" i="55"/>
  <c r="C34" i="55"/>
  <c r="F34" i="55"/>
  <c r="H34" i="55"/>
  <c r="I34" i="55"/>
  <c r="C35" i="55"/>
  <c r="F35" i="55"/>
  <c r="H35" i="55"/>
  <c r="I35" i="55"/>
  <c r="B6" i="58"/>
  <c r="B6" i="59" s="1"/>
  <c r="B55" i="59" s="1"/>
  <c r="H7" i="60"/>
  <c r="H6" i="58" s="1"/>
  <c r="C10" i="60"/>
  <c r="C9" i="59" s="1"/>
  <c r="D10" i="60"/>
  <c r="D9" i="59" s="1"/>
  <c r="W10" i="60"/>
  <c r="X10" i="60"/>
  <c r="Y10" i="60"/>
  <c r="Z10" i="60"/>
  <c r="AA10" i="60"/>
  <c r="AB10" i="60"/>
  <c r="C10" i="59"/>
  <c r="C58" i="59" s="1"/>
  <c r="W11" i="60"/>
  <c r="X11" i="60"/>
  <c r="Y11" i="60"/>
  <c r="Z11" i="60"/>
  <c r="AA11" i="60"/>
  <c r="AB11" i="60"/>
  <c r="C12" i="60"/>
  <c r="D12" i="60"/>
  <c r="E12" i="60"/>
  <c r="D4" i="45" s="1"/>
  <c r="F12" i="60"/>
  <c r="F57" i="60" s="1"/>
  <c r="G12" i="60"/>
  <c r="F4" i="67" s="1"/>
  <c r="H12" i="60"/>
  <c r="I12" i="60"/>
  <c r="H4" i="45" s="1"/>
  <c r="H64" i="45" s="1"/>
  <c r="J12" i="60"/>
  <c r="J57" i="60" s="1"/>
  <c r="K12" i="60"/>
  <c r="L12" i="60"/>
  <c r="M12" i="60"/>
  <c r="L4" i="45" s="1"/>
  <c r="N12" i="60"/>
  <c r="N57" i="60"/>
  <c r="O12" i="60"/>
  <c r="P12" i="60"/>
  <c r="Q12" i="60"/>
  <c r="R12" i="60"/>
  <c r="R57" i="60" s="1"/>
  <c r="S12" i="60"/>
  <c r="T12" i="60"/>
  <c r="U12" i="60"/>
  <c r="V12" i="60"/>
  <c r="W12" i="60"/>
  <c r="X12" i="60"/>
  <c r="Y12" i="60"/>
  <c r="Z12" i="60"/>
  <c r="AA12" i="60"/>
  <c r="AB12" i="60"/>
  <c r="C17" i="60"/>
  <c r="B5" i="45" s="1"/>
  <c r="D17" i="60"/>
  <c r="E17" i="60"/>
  <c r="F17" i="60"/>
  <c r="E5" i="67"/>
  <c r="G17" i="60"/>
  <c r="F5" i="45" s="1"/>
  <c r="H17" i="60"/>
  <c r="G5" i="67" s="1"/>
  <c r="I17" i="60"/>
  <c r="H5" i="67"/>
  <c r="J17" i="60"/>
  <c r="I153" i="45" s="1"/>
  <c r="K17" i="60"/>
  <c r="J5" i="45" s="1"/>
  <c r="L17" i="60"/>
  <c r="K5" i="67" s="1"/>
  <c r="M17" i="60"/>
  <c r="L5" i="45" s="1"/>
  <c r="N17" i="60"/>
  <c r="M5" i="45" s="1"/>
  <c r="O17" i="60"/>
  <c r="O23" i="60" s="1"/>
  <c r="P17" i="60"/>
  <c r="Q17" i="60"/>
  <c r="P5" i="45"/>
  <c r="R17" i="60"/>
  <c r="R23" i="60" s="1"/>
  <c r="S17" i="60"/>
  <c r="R7" i="67"/>
  <c r="T17" i="60"/>
  <c r="U17" i="60"/>
  <c r="V17" i="60"/>
  <c r="W17" i="60"/>
  <c r="X17" i="60"/>
  <c r="Y17" i="60"/>
  <c r="Z17" i="60"/>
  <c r="AA17" i="60"/>
  <c r="AB17" i="60"/>
  <c r="C21" i="60"/>
  <c r="D21" i="60"/>
  <c r="D23" i="60"/>
  <c r="D58" i="60" s="1"/>
  <c r="C13" i="28" s="1"/>
  <c r="E21" i="60"/>
  <c r="F21" i="60"/>
  <c r="G21" i="60"/>
  <c r="H21" i="60"/>
  <c r="I21" i="60"/>
  <c r="J21" i="60"/>
  <c r="K21" i="60"/>
  <c r="L21" i="60"/>
  <c r="M21" i="60"/>
  <c r="N21" i="60"/>
  <c r="O21" i="60"/>
  <c r="P21" i="60"/>
  <c r="Q21" i="60"/>
  <c r="R21" i="60"/>
  <c r="S21" i="60"/>
  <c r="S23" i="60" s="1"/>
  <c r="T21" i="60"/>
  <c r="U21" i="60"/>
  <c r="U23" i="60" s="1"/>
  <c r="V21" i="60"/>
  <c r="V23" i="60"/>
  <c r="C34" i="60"/>
  <c r="B15" i="45" s="1"/>
  <c r="D34" i="60"/>
  <c r="E34" i="60"/>
  <c r="F34" i="60"/>
  <c r="E15" i="67"/>
  <c r="E237" i="67" s="1"/>
  <c r="G34" i="60"/>
  <c r="H34" i="60"/>
  <c r="I34" i="60"/>
  <c r="J34" i="60"/>
  <c r="I15" i="45" s="1"/>
  <c r="K34" i="60"/>
  <c r="K49" i="60" s="1"/>
  <c r="L34" i="60"/>
  <c r="M34" i="60"/>
  <c r="N34" i="60"/>
  <c r="N49" i="60" s="1"/>
  <c r="O34" i="60"/>
  <c r="P34" i="60"/>
  <c r="O15" i="45" s="1"/>
  <c r="Q34" i="60"/>
  <c r="R34" i="60"/>
  <c r="R49" i="60"/>
  <c r="S34" i="60"/>
  <c r="T34" i="60"/>
  <c r="U34" i="60"/>
  <c r="U49" i="60"/>
  <c r="V34" i="60"/>
  <c r="C38" i="60"/>
  <c r="D38" i="60"/>
  <c r="E38" i="60"/>
  <c r="F38" i="60"/>
  <c r="G38" i="60"/>
  <c r="H38" i="60"/>
  <c r="I38" i="60"/>
  <c r="J38" i="60"/>
  <c r="K38" i="60"/>
  <c r="L38" i="60"/>
  <c r="M38" i="60"/>
  <c r="N38" i="60"/>
  <c r="O38" i="60"/>
  <c r="P38" i="60"/>
  <c r="Q38" i="60"/>
  <c r="R38" i="60"/>
  <c r="S38" i="60"/>
  <c r="T38" i="60"/>
  <c r="S14" i="28" s="1"/>
  <c r="U38" i="60"/>
  <c r="V38" i="60"/>
  <c r="C49" i="60"/>
  <c r="C61" i="60" s="1"/>
  <c r="F49" i="60"/>
  <c r="O49" i="60"/>
  <c r="V49" i="60"/>
  <c r="I57" i="60"/>
  <c r="C82" i="60"/>
  <c r="D82" i="60"/>
  <c r="E82" i="60"/>
  <c r="F82" i="60"/>
  <c r="G82" i="60"/>
  <c r="H82" i="60"/>
  <c r="H89" i="60" s="1"/>
  <c r="I82" i="60"/>
  <c r="J82" i="60"/>
  <c r="K82" i="60"/>
  <c r="L82" i="60"/>
  <c r="M82" i="60"/>
  <c r="M89" i="60" s="1"/>
  <c r="N82" i="60"/>
  <c r="O82" i="60"/>
  <c r="P82" i="60"/>
  <c r="P89" i="60"/>
  <c r="Q82" i="60"/>
  <c r="R82" i="60"/>
  <c r="R89" i="60"/>
  <c r="S82" i="60"/>
  <c r="S89" i="60" s="1"/>
  <c r="T82" i="60"/>
  <c r="U82" i="60"/>
  <c r="V82" i="60"/>
  <c r="V89" i="60" s="1"/>
  <c r="C88" i="60"/>
  <c r="D88" i="60"/>
  <c r="D89" i="60" s="1"/>
  <c r="E88" i="60"/>
  <c r="E89" i="60" s="1"/>
  <c r="F88" i="60"/>
  <c r="F89" i="60" s="1"/>
  <c r="E31" i="47"/>
  <c r="G88" i="60"/>
  <c r="F31" i="47" s="1"/>
  <c r="H88" i="60"/>
  <c r="I88" i="60"/>
  <c r="H8" i="47" s="1"/>
  <c r="J88" i="60"/>
  <c r="J89" i="60" s="1"/>
  <c r="K88" i="60"/>
  <c r="L88" i="60"/>
  <c r="L89" i="60" s="1"/>
  <c r="M88" i="60"/>
  <c r="N88" i="60"/>
  <c r="M31" i="47" s="1"/>
  <c r="O88" i="60"/>
  <c r="O89" i="60"/>
  <c r="P88" i="60"/>
  <c r="Q88" i="60"/>
  <c r="R88" i="60"/>
  <c r="S88" i="60"/>
  <c r="T88" i="60"/>
  <c r="T89" i="60" s="1"/>
  <c r="U88" i="60"/>
  <c r="V88" i="60"/>
  <c r="C89" i="60"/>
  <c r="U89" i="60"/>
  <c r="C2" i="45"/>
  <c r="O4" i="45"/>
  <c r="O182" i="45" s="1"/>
  <c r="O64" i="45"/>
  <c r="O77" i="45"/>
  <c r="O84" i="45" s="1"/>
  <c r="O98" i="45" s="1"/>
  <c r="O116" i="45" s="1"/>
  <c r="O141" i="45" s="1"/>
  <c r="O159" i="45" s="1"/>
  <c r="O190" i="45" s="1"/>
  <c r="O220" i="45" s="1"/>
  <c r="O230" i="45" s="1"/>
  <c r="E5" i="45"/>
  <c r="Q5" i="45"/>
  <c r="T5" i="45"/>
  <c r="U5" i="45"/>
  <c r="B6" i="45"/>
  <c r="C6" i="45"/>
  <c r="D6" i="45"/>
  <c r="E6" i="45"/>
  <c r="F6" i="45"/>
  <c r="G6" i="45"/>
  <c r="H6" i="45"/>
  <c r="I6" i="45"/>
  <c r="J6" i="45"/>
  <c r="K6" i="45"/>
  <c r="L6" i="45"/>
  <c r="M6" i="45"/>
  <c r="N6" i="45"/>
  <c r="O6" i="45"/>
  <c r="P6" i="45"/>
  <c r="Q6" i="45"/>
  <c r="R6" i="45"/>
  <c r="S6" i="45"/>
  <c r="T6" i="45"/>
  <c r="U6" i="45"/>
  <c r="B8" i="45"/>
  <c r="C8" i="45"/>
  <c r="D8" i="45"/>
  <c r="E8" i="45"/>
  <c r="F8" i="45"/>
  <c r="G8" i="45"/>
  <c r="H8" i="45"/>
  <c r="I8" i="45"/>
  <c r="J8" i="45"/>
  <c r="K8" i="45"/>
  <c r="L8" i="45"/>
  <c r="M8" i="45"/>
  <c r="N8" i="45"/>
  <c r="O8" i="45"/>
  <c r="P8" i="45"/>
  <c r="Q8" i="45"/>
  <c r="R8" i="45"/>
  <c r="S8" i="45"/>
  <c r="T8" i="45"/>
  <c r="U8" i="45"/>
  <c r="B9" i="45"/>
  <c r="C9" i="45"/>
  <c r="D9" i="45"/>
  <c r="E9" i="45"/>
  <c r="F9" i="45"/>
  <c r="G9" i="45"/>
  <c r="H9" i="45"/>
  <c r="I9" i="45"/>
  <c r="J9" i="45"/>
  <c r="K9" i="45"/>
  <c r="L9" i="45"/>
  <c r="M9" i="45"/>
  <c r="N9" i="45"/>
  <c r="O9" i="45"/>
  <c r="P9" i="45"/>
  <c r="Q9" i="45"/>
  <c r="R9" i="45"/>
  <c r="S9" i="45"/>
  <c r="T9" i="45"/>
  <c r="U9" i="45"/>
  <c r="B10" i="45"/>
  <c r="C10" i="45"/>
  <c r="D10" i="45"/>
  <c r="E10" i="45"/>
  <c r="F10" i="45"/>
  <c r="G10" i="45"/>
  <c r="H10" i="45"/>
  <c r="I10" i="45"/>
  <c r="J10" i="45"/>
  <c r="K10" i="45"/>
  <c r="L10" i="45"/>
  <c r="M10" i="45"/>
  <c r="N10" i="45"/>
  <c r="O10" i="45"/>
  <c r="P10" i="45"/>
  <c r="Q10" i="45"/>
  <c r="R10" i="45"/>
  <c r="S10" i="45"/>
  <c r="T10" i="45"/>
  <c r="U10" i="45"/>
  <c r="B12" i="45"/>
  <c r="C12" i="45"/>
  <c r="D12" i="45"/>
  <c r="E12" i="45"/>
  <c r="F12" i="45"/>
  <c r="G12" i="45"/>
  <c r="H12" i="45"/>
  <c r="I12" i="45"/>
  <c r="J12" i="45"/>
  <c r="K12" i="45"/>
  <c r="L12" i="45"/>
  <c r="M12" i="45"/>
  <c r="N12" i="45"/>
  <c r="O12" i="45"/>
  <c r="P12" i="45"/>
  <c r="Q12" i="45"/>
  <c r="R12" i="45"/>
  <c r="S12" i="45"/>
  <c r="T12" i="45"/>
  <c r="U12" i="45"/>
  <c r="B14" i="45"/>
  <c r="C14" i="45"/>
  <c r="D14" i="45"/>
  <c r="E14" i="45"/>
  <c r="F14" i="45"/>
  <c r="G14" i="45"/>
  <c r="H14" i="45"/>
  <c r="I14" i="45"/>
  <c r="J14" i="45"/>
  <c r="K14" i="45"/>
  <c r="L14" i="45"/>
  <c r="M14" i="45"/>
  <c r="N14" i="45"/>
  <c r="O14" i="45"/>
  <c r="P14" i="45"/>
  <c r="Q14" i="45"/>
  <c r="R14" i="45"/>
  <c r="S14" i="45"/>
  <c r="T14" i="45"/>
  <c r="U14" i="45"/>
  <c r="C15" i="45"/>
  <c r="M15" i="45"/>
  <c r="N15" i="45"/>
  <c r="Q15" i="45"/>
  <c r="S15" i="45"/>
  <c r="U15" i="45"/>
  <c r="B16" i="45"/>
  <c r="C16" i="45"/>
  <c r="D16" i="45"/>
  <c r="E16" i="45"/>
  <c r="F16" i="45"/>
  <c r="G16" i="45"/>
  <c r="H16" i="45"/>
  <c r="I16" i="45"/>
  <c r="J16" i="45"/>
  <c r="K16" i="45"/>
  <c r="L16" i="45"/>
  <c r="M16" i="45"/>
  <c r="N16" i="45"/>
  <c r="O16" i="45"/>
  <c r="P16" i="45"/>
  <c r="Q16" i="45"/>
  <c r="R16" i="45"/>
  <c r="S16" i="45"/>
  <c r="T16" i="45"/>
  <c r="U16" i="45"/>
  <c r="B17" i="45"/>
  <c r="C17" i="45"/>
  <c r="D17" i="45"/>
  <c r="E17" i="45"/>
  <c r="F17" i="45"/>
  <c r="G17" i="45"/>
  <c r="H17" i="45"/>
  <c r="I17" i="45"/>
  <c r="J17" i="45"/>
  <c r="K17" i="45"/>
  <c r="L17" i="45"/>
  <c r="M17" i="45"/>
  <c r="N17" i="45"/>
  <c r="O17" i="45"/>
  <c r="P17" i="45"/>
  <c r="Q17" i="45"/>
  <c r="R17" i="45"/>
  <c r="S17" i="45"/>
  <c r="T17" i="45"/>
  <c r="U17" i="45"/>
  <c r="B18" i="45"/>
  <c r="C18" i="45"/>
  <c r="D18" i="45"/>
  <c r="E18" i="45"/>
  <c r="F18" i="45"/>
  <c r="G18" i="45"/>
  <c r="H18" i="45"/>
  <c r="I18" i="45"/>
  <c r="J18" i="45"/>
  <c r="K18" i="45"/>
  <c r="L18" i="45"/>
  <c r="M18" i="45"/>
  <c r="N18" i="45"/>
  <c r="O18" i="45"/>
  <c r="P18" i="45"/>
  <c r="Q18" i="45"/>
  <c r="R18" i="45"/>
  <c r="S18" i="45"/>
  <c r="T18" i="45"/>
  <c r="U18" i="45"/>
  <c r="B19" i="45"/>
  <c r="C19" i="45"/>
  <c r="D19" i="45"/>
  <c r="E19" i="45"/>
  <c r="F19" i="45"/>
  <c r="G19" i="45"/>
  <c r="H19" i="45"/>
  <c r="I19" i="45"/>
  <c r="J19" i="45"/>
  <c r="K19" i="45"/>
  <c r="L19" i="45"/>
  <c r="M19" i="45"/>
  <c r="N19" i="45"/>
  <c r="O19" i="45"/>
  <c r="P19" i="45"/>
  <c r="Q19" i="45"/>
  <c r="R19" i="45"/>
  <c r="S19" i="45"/>
  <c r="T19" i="45"/>
  <c r="U19" i="45"/>
  <c r="B20" i="45"/>
  <c r="C20" i="45"/>
  <c r="D20" i="45"/>
  <c r="E20" i="45"/>
  <c r="F20" i="45"/>
  <c r="G20" i="45"/>
  <c r="H20" i="45"/>
  <c r="I20" i="45"/>
  <c r="J20" i="45"/>
  <c r="K20" i="45"/>
  <c r="L20" i="45"/>
  <c r="M20" i="45"/>
  <c r="N20" i="45"/>
  <c r="O20" i="45"/>
  <c r="P20" i="45"/>
  <c r="Q20" i="45"/>
  <c r="R20" i="45"/>
  <c r="S20" i="45"/>
  <c r="T20" i="45"/>
  <c r="U20" i="45"/>
  <c r="B21" i="45"/>
  <c r="C21" i="45"/>
  <c r="D21" i="45"/>
  <c r="E21" i="45"/>
  <c r="F21" i="45"/>
  <c r="G21" i="45"/>
  <c r="H21" i="45"/>
  <c r="I21" i="45"/>
  <c r="J21" i="45"/>
  <c r="K21" i="45"/>
  <c r="L21" i="45"/>
  <c r="M21" i="45"/>
  <c r="N21" i="45"/>
  <c r="O21" i="45"/>
  <c r="P21" i="45"/>
  <c r="Q21" i="45"/>
  <c r="R21" i="45"/>
  <c r="S21" i="45"/>
  <c r="T21" i="45"/>
  <c r="U21" i="45"/>
  <c r="B22" i="45"/>
  <c r="C22" i="45"/>
  <c r="D22" i="45"/>
  <c r="E22" i="45"/>
  <c r="F22" i="45"/>
  <c r="G22" i="45"/>
  <c r="H22" i="45"/>
  <c r="I22" i="45"/>
  <c r="J22" i="45"/>
  <c r="K22" i="45"/>
  <c r="L22" i="45"/>
  <c r="M22" i="45"/>
  <c r="N22" i="45"/>
  <c r="O22" i="45"/>
  <c r="P22" i="45"/>
  <c r="Q22" i="45"/>
  <c r="R22" i="45"/>
  <c r="S22" i="45"/>
  <c r="T22" i="45"/>
  <c r="U22" i="45"/>
  <c r="B23" i="45"/>
  <c r="C23" i="45"/>
  <c r="D23" i="45"/>
  <c r="E23" i="45"/>
  <c r="F23" i="45"/>
  <c r="G23" i="45"/>
  <c r="H23" i="45"/>
  <c r="I23" i="45"/>
  <c r="J23" i="45"/>
  <c r="K23" i="45"/>
  <c r="L23" i="45"/>
  <c r="M23" i="45"/>
  <c r="N23" i="45"/>
  <c r="O23" i="45"/>
  <c r="P23" i="45"/>
  <c r="Q23" i="45"/>
  <c r="R23" i="45"/>
  <c r="S23" i="45"/>
  <c r="T23" i="45"/>
  <c r="U23" i="45"/>
  <c r="B24" i="45"/>
  <c r="C24" i="45"/>
  <c r="D24" i="45"/>
  <c r="E24" i="45"/>
  <c r="F24" i="45"/>
  <c r="G24" i="45"/>
  <c r="H24" i="45"/>
  <c r="I24" i="45"/>
  <c r="J24" i="45"/>
  <c r="K24" i="45"/>
  <c r="L24" i="45"/>
  <c r="M24" i="45"/>
  <c r="N24" i="45"/>
  <c r="O24" i="45"/>
  <c r="P24" i="45"/>
  <c r="Q24" i="45"/>
  <c r="R24" i="45"/>
  <c r="S24" i="45"/>
  <c r="T24" i="45"/>
  <c r="U24" i="45"/>
  <c r="B26" i="45"/>
  <c r="C26" i="45"/>
  <c r="D26" i="45"/>
  <c r="E26" i="45"/>
  <c r="F26" i="45"/>
  <c r="G26" i="45"/>
  <c r="H26" i="45"/>
  <c r="I26" i="45"/>
  <c r="J26" i="45"/>
  <c r="K26" i="45"/>
  <c r="L26" i="45"/>
  <c r="M26" i="45"/>
  <c r="N26" i="45"/>
  <c r="O26" i="45"/>
  <c r="P26" i="45"/>
  <c r="Q26" i="45"/>
  <c r="R26" i="45"/>
  <c r="S26" i="45"/>
  <c r="T26" i="45"/>
  <c r="U26" i="45"/>
  <c r="B28" i="45"/>
  <c r="E28" i="45"/>
  <c r="G28" i="45"/>
  <c r="K28" i="45"/>
  <c r="O28" i="45"/>
  <c r="Q28" i="45"/>
  <c r="S28" i="45"/>
  <c r="B30" i="45"/>
  <c r="C30" i="45"/>
  <c r="D30" i="45"/>
  <c r="E30" i="45"/>
  <c r="F30" i="45"/>
  <c r="G30" i="45"/>
  <c r="H30" i="45"/>
  <c r="I30" i="45"/>
  <c r="J30" i="45"/>
  <c r="K30" i="45"/>
  <c r="L30" i="45"/>
  <c r="M30" i="45"/>
  <c r="N30" i="45"/>
  <c r="O30" i="45"/>
  <c r="P30" i="45"/>
  <c r="Q30" i="45"/>
  <c r="R30" i="45"/>
  <c r="S30" i="45"/>
  <c r="T30" i="45"/>
  <c r="U30" i="45"/>
  <c r="C32" i="45"/>
  <c r="E32" i="45"/>
  <c r="N32" i="45"/>
  <c r="O32" i="45"/>
  <c r="U32" i="45"/>
  <c r="B34" i="45"/>
  <c r="C34" i="45"/>
  <c r="D34" i="45"/>
  <c r="E34" i="45"/>
  <c r="F34" i="45"/>
  <c r="G34" i="45"/>
  <c r="H34" i="45"/>
  <c r="I34" i="45"/>
  <c r="J34" i="45"/>
  <c r="K34" i="45"/>
  <c r="L34" i="45"/>
  <c r="M34" i="45"/>
  <c r="N34" i="45"/>
  <c r="O34" i="45"/>
  <c r="P34" i="45"/>
  <c r="Q34" i="45"/>
  <c r="R34" i="45"/>
  <c r="S34" i="45"/>
  <c r="T34" i="45"/>
  <c r="U34" i="45"/>
  <c r="B36" i="45"/>
  <c r="C36" i="45"/>
  <c r="D36" i="45"/>
  <c r="E36" i="45"/>
  <c r="F36" i="45"/>
  <c r="G36" i="45"/>
  <c r="H36" i="45"/>
  <c r="I36" i="45"/>
  <c r="J36" i="45"/>
  <c r="K36" i="45"/>
  <c r="L36" i="45"/>
  <c r="M36" i="45"/>
  <c r="N36" i="45"/>
  <c r="O36" i="45"/>
  <c r="P36" i="45"/>
  <c r="Q36" i="45"/>
  <c r="R36" i="45"/>
  <c r="S36" i="45"/>
  <c r="T36" i="45"/>
  <c r="U36" i="45"/>
  <c r="B38" i="45"/>
  <c r="C38" i="45"/>
  <c r="D38" i="45"/>
  <c r="E38" i="45"/>
  <c r="F38" i="45"/>
  <c r="G38" i="45"/>
  <c r="H38" i="45"/>
  <c r="I38" i="45"/>
  <c r="J38" i="45"/>
  <c r="K38" i="45"/>
  <c r="L38" i="45"/>
  <c r="M38" i="45"/>
  <c r="N38" i="45"/>
  <c r="O38" i="45"/>
  <c r="P38" i="45"/>
  <c r="Q38" i="45"/>
  <c r="R38" i="45"/>
  <c r="S38" i="45"/>
  <c r="T38" i="45"/>
  <c r="U38" i="45"/>
  <c r="C40" i="45"/>
  <c r="E40" i="45"/>
  <c r="I40" i="45"/>
  <c r="J40" i="45"/>
  <c r="K40" i="45"/>
  <c r="M40" i="45"/>
  <c r="O40" i="45"/>
  <c r="Q40" i="45"/>
  <c r="R40" i="45"/>
  <c r="S40" i="45"/>
  <c r="U40" i="45"/>
  <c r="B41" i="45"/>
  <c r="B89" i="45" s="1"/>
  <c r="C41" i="45"/>
  <c r="C89" i="45" s="1"/>
  <c r="D41" i="45"/>
  <c r="E41" i="45"/>
  <c r="F41" i="45"/>
  <c r="F89" i="45" s="1"/>
  <c r="G41" i="45"/>
  <c r="G89" i="45" s="1"/>
  <c r="H41" i="45"/>
  <c r="H89" i="45" s="1"/>
  <c r="I41" i="45"/>
  <c r="J41" i="45"/>
  <c r="J89" i="45" s="1"/>
  <c r="K41" i="45"/>
  <c r="K89" i="45" s="1"/>
  <c r="L41" i="45"/>
  <c r="L89" i="45" s="1"/>
  <c r="M41" i="45"/>
  <c r="M89" i="45" s="1"/>
  <c r="N41" i="45"/>
  <c r="N89" i="45" s="1"/>
  <c r="O41" i="45"/>
  <c r="O89" i="45" s="1"/>
  <c r="P41" i="45"/>
  <c r="P89" i="45" s="1"/>
  <c r="Q41" i="45"/>
  <c r="R41" i="45"/>
  <c r="R89" i="45" s="1"/>
  <c r="S41" i="45"/>
  <c r="S89" i="45" s="1"/>
  <c r="T41" i="45"/>
  <c r="T89" i="45" s="1"/>
  <c r="U41" i="45"/>
  <c r="B42" i="45"/>
  <c r="C42" i="45"/>
  <c r="D42" i="45"/>
  <c r="E42" i="45"/>
  <c r="F42" i="45"/>
  <c r="G42" i="45"/>
  <c r="H42" i="45"/>
  <c r="I42" i="45"/>
  <c r="J42" i="45"/>
  <c r="K42" i="45"/>
  <c r="L42" i="45"/>
  <c r="M42" i="45"/>
  <c r="N42" i="45"/>
  <c r="O42" i="45"/>
  <c r="P42" i="45"/>
  <c r="Q42" i="45"/>
  <c r="R42" i="45"/>
  <c r="S42" i="45"/>
  <c r="T42" i="45"/>
  <c r="U42" i="45"/>
  <c r="B44" i="45"/>
  <c r="C44" i="45"/>
  <c r="D44" i="45"/>
  <c r="E44" i="45"/>
  <c r="F44" i="45"/>
  <c r="G44" i="45"/>
  <c r="H44" i="45"/>
  <c r="I44" i="45"/>
  <c r="J44" i="45"/>
  <c r="K44" i="45"/>
  <c r="L44" i="45"/>
  <c r="M44" i="45"/>
  <c r="N44" i="45"/>
  <c r="O44" i="45"/>
  <c r="P44" i="45"/>
  <c r="Q44" i="45"/>
  <c r="R44" i="45"/>
  <c r="S44" i="45"/>
  <c r="T44" i="45"/>
  <c r="U44" i="45"/>
  <c r="B46" i="45"/>
  <c r="C46" i="45"/>
  <c r="D46" i="45"/>
  <c r="E46" i="45"/>
  <c r="F46" i="45"/>
  <c r="G46" i="45"/>
  <c r="H46" i="45"/>
  <c r="I46" i="45"/>
  <c r="J46" i="45"/>
  <c r="K46" i="45"/>
  <c r="L46" i="45"/>
  <c r="M46" i="45"/>
  <c r="N46" i="45"/>
  <c r="O46" i="45"/>
  <c r="P46" i="45"/>
  <c r="Q46" i="45"/>
  <c r="R46" i="45"/>
  <c r="S46" i="45"/>
  <c r="T46" i="45"/>
  <c r="U46" i="45"/>
  <c r="B48" i="45"/>
  <c r="C48" i="45"/>
  <c r="D48" i="45"/>
  <c r="E48" i="45"/>
  <c r="F48" i="45"/>
  <c r="G48" i="45"/>
  <c r="H48" i="45"/>
  <c r="I48" i="45"/>
  <c r="J48" i="45"/>
  <c r="K48" i="45"/>
  <c r="L48" i="45"/>
  <c r="M48" i="45"/>
  <c r="N48" i="45"/>
  <c r="O48" i="45"/>
  <c r="P48" i="45"/>
  <c r="Q48" i="45"/>
  <c r="R48" i="45"/>
  <c r="S48" i="45"/>
  <c r="T48" i="45"/>
  <c r="U48" i="45"/>
  <c r="B50" i="45"/>
  <c r="C50" i="45"/>
  <c r="D50" i="45"/>
  <c r="E50" i="45"/>
  <c r="F50" i="45"/>
  <c r="G50" i="45"/>
  <c r="H50" i="45"/>
  <c r="I50" i="45"/>
  <c r="J50" i="45"/>
  <c r="K50" i="45"/>
  <c r="L50" i="45"/>
  <c r="M50" i="45"/>
  <c r="N50" i="45"/>
  <c r="O50" i="45"/>
  <c r="P50" i="45"/>
  <c r="Q50" i="45"/>
  <c r="R50" i="45"/>
  <c r="S50" i="45"/>
  <c r="T50" i="45"/>
  <c r="U50" i="45"/>
  <c r="B52" i="45"/>
  <c r="C52" i="45"/>
  <c r="D52" i="45"/>
  <c r="E52" i="45"/>
  <c r="F52" i="45"/>
  <c r="G52" i="45"/>
  <c r="H52" i="45"/>
  <c r="I52" i="45"/>
  <c r="J52" i="45"/>
  <c r="K52" i="45"/>
  <c r="L52" i="45"/>
  <c r="M52" i="45"/>
  <c r="N52" i="45"/>
  <c r="O52" i="45"/>
  <c r="P52" i="45"/>
  <c r="Q52" i="45"/>
  <c r="R52" i="45"/>
  <c r="S52" i="45"/>
  <c r="T52" i="45"/>
  <c r="U52" i="45"/>
  <c r="B54" i="45"/>
  <c r="C54" i="45"/>
  <c r="D54" i="45"/>
  <c r="E54" i="45"/>
  <c r="F54" i="45"/>
  <c r="G54" i="45"/>
  <c r="H54" i="45"/>
  <c r="I54" i="45"/>
  <c r="J54" i="45"/>
  <c r="K54" i="45"/>
  <c r="L54" i="45"/>
  <c r="M54" i="45"/>
  <c r="N54" i="45"/>
  <c r="O54" i="45"/>
  <c r="P54" i="45"/>
  <c r="Q54" i="45"/>
  <c r="R54" i="45"/>
  <c r="S54" i="45"/>
  <c r="T54" i="45"/>
  <c r="U54" i="45"/>
  <c r="B56" i="45"/>
  <c r="C56" i="45"/>
  <c r="D56" i="45"/>
  <c r="E56" i="45"/>
  <c r="F56" i="45"/>
  <c r="G56" i="45"/>
  <c r="H56" i="45"/>
  <c r="I56" i="45"/>
  <c r="J56" i="45"/>
  <c r="K56" i="45"/>
  <c r="L56" i="45"/>
  <c r="M56" i="45"/>
  <c r="N56" i="45"/>
  <c r="O56" i="45"/>
  <c r="P56" i="45"/>
  <c r="Q56" i="45"/>
  <c r="R56" i="45"/>
  <c r="S56" i="45"/>
  <c r="T56" i="45"/>
  <c r="U56" i="45"/>
  <c r="B58" i="45"/>
  <c r="C58" i="45"/>
  <c r="D58" i="45"/>
  <c r="E58" i="45"/>
  <c r="F58" i="45"/>
  <c r="G58" i="45"/>
  <c r="H58" i="45"/>
  <c r="I58" i="45"/>
  <c r="J58" i="45"/>
  <c r="K58" i="45"/>
  <c r="L58" i="45"/>
  <c r="M58" i="45"/>
  <c r="N58" i="45"/>
  <c r="O58" i="45"/>
  <c r="P58" i="45"/>
  <c r="Q58" i="45"/>
  <c r="R58" i="45"/>
  <c r="S58" i="45"/>
  <c r="T58" i="45"/>
  <c r="U58" i="45"/>
  <c r="C66" i="45"/>
  <c r="D66" i="45"/>
  <c r="E66" i="45"/>
  <c r="F66" i="45"/>
  <c r="G66" i="45"/>
  <c r="H66" i="45"/>
  <c r="I66" i="45"/>
  <c r="J66" i="45"/>
  <c r="K66" i="45"/>
  <c r="L66" i="45"/>
  <c r="M66" i="45"/>
  <c r="N66" i="45"/>
  <c r="O66" i="45"/>
  <c r="P66" i="45"/>
  <c r="Q66" i="45"/>
  <c r="R66" i="45"/>
  <c r="S66" i="45"/>
  <c r="T66" i="45"/>
  <c r="U66" i="45"/>
  <c r="C67" i="45"/>
  <c r="D67" i="45"/>
  <c r="E67" i="45"/>
  <c r="F67" i="45"/>
  <c r="G67" i="45"/>
  <c r="H67" i="45"/>
  <c r="I67" i="45"/>
  <c r="J67" i="45"/>
  <c r="K67" i="45"/>
  <c r="L67" i="45"/>
  <c r="M67" i="45"/>
  <c r="N67" i="45"/>
  <c r="O67" i="45"/>
  <c r="P67" i="45"/>
  <c r="Q67" i="45"/>
  <c r="R67" i="45"/>
  <c r="S67" i="45"/>
  <c r="T67" i="45"/>
  <c r="U67" i="45"/>
  <c r="C68" i="45"/>
  <c r="D68" i="45"/>
  <c r="E68" i="45"/>
  <c r="F68" i="45"/>
  <c r="G68" i="45"/>
  <c r="H68" i="45"/>
  <c r="I68" i="45"/>
  <c r="J68" i="45"/>
  <c r="K68" i="45"/>
  <c r="L68" i="45"/>
  <c r="M68" i="45"/>
  <c r="N68" i="45"/>
  <c r="O68" i="45"/>
  <c r="P68" i="45"/>
  <c r="Q68" i="45"/>
  <c r="R68" i="45"/>
  <c r="S68" i="45"/>
  <c r="T68" i="45"/>
  <c r="U68" i="45"/>
  <c r="B69" i="45"/>
  <c r="C71" i="45"/>
  <c r="C73" i="45" s="1"/>
  <c r="D71" i="45"/>
  <c r="E71" i="45"/>
  <c r="F71" i="45"/>
  <c r="G71" i="45"/>
  <c r="H71" i="45"/>
  <c r="I71" i="45"/>
  <c r="J71" i="45"/>
  <c r="K71" i="45"/>
  <c r="L71" i="45"/>
  <c r="M71" i="45"/>
  <c r="N71" i="45"/>
  <c r="O71" i="45"/>
  <c r="P71" i="45"/>
  <c r="Q71" i="45"/>
  <c r="Q73" i="45" s="1"/>
  <c r="R71" i="45"/>
  <c r="S71" i="45"/>
  <c r="S73" i="45" s="1"/>
  <c r="T71" i="45"/>
  <c r="U71" i="45"/>
  <c r="C72" i="45"/>
  <c r="D72" i="45"/>
  <c r="E72" i="45"/>
  <c r="F72" i="45"/>
  <c r="G72" i="45"/>
  <c r="G73" i="45" s="1"/>
  <c r="H72" i="45"/>
  <c r="H73" i="45" s="1"/>
  <c r="I72" i="45"/>
  <c r="I73" i="45" s="1"/>
  <c r="J72" i="45"/>
  <c r="K72" i="45"/>
  <c r="K73" i="45" s="1"/>
  <c r="L72" i="45"/>
  <c r="L73" i="45" s="1"/>
  <c r="M72" i="45"/>
  <c r="N72" i="45"/>
  <c r="N73" i="45"/>
  <c r="O72" i="45"/>
  <c r="P72" i="45"/>
  <c r="Q72" i="45"/>
  <c r="R72" i="45"/>
  <c r="R73" i="45"/>
  <c r="S72" i="45"/>
  <c r="T72" i="45"/>
  <c r="T73" i="45"/>
  <c r="U72" i="45"/>
  <c r="U73" i="45" s="1"/>
  <c r="B73" i="45"/>
  <c r="B74" i="45" s="1"/>
  <c r="H77" i="45"/>
  <c r="H84" i="45" s="1"/>
  <c r="H98" i="45" s="1"/>
  <c r="H116" i="45" s="1"/>
  <c r="H141" i="45" s="1"/>
  <c r="H159" i="45" s="1"/>
  <c r="D89" i="45"/>
  <c r="E89" i="45"/>
  <c r="I89" i="45"/>
  <c r="Q89" i="45"/>
  <c r="U89" i="45"/>
  <c r="B100" i="45"/>
  <c r="C100" i="45"/>
  <c r="E100" i="45"/>
  <c r="G100" i="45"/>
  <c r="J100" i="45"/>
  <c r="K100" i="45"/>
  <c r="N100" i="45"/>
  <c r="O100" i="45"/>
  <c r="Q100" i="45"/>
  <c r="R100" i="45"/>
  <c r="S100" i="45"/>
  <c r="T100" i="45"/>
  <c r="U100" i="45"/>
  <c r="C102" i="45"/>
  <c r="E102" i="45"/>
  <c r="F102" i="45"/>
  <c r="G102" i="45"/>
  <c r="I102" i="45"/>
  <c r="J102" i="45"/>
  <c r="K102" i="45"/>
  <c r="M102" i="45"/>
  <c r="N102" i="45"/>
  <c r="O102" i="45"/>
  <c r="S102" i="45"/>
  <c r="B104" i="45"/>
  <c r="C104" i="45"/>
  <c r="D104" i="45"/>
  <c r="E104" i="45"/>
  <c r="F104" i="45"/>
  <c r="G104" i="45"/>
  <c r="H104" i="45"/>
  <c r="I104" i="45"/>
  <c r="J104" i="45"/>
  <c r="K104" i="45"/>
  <c r="L104" i="45"/>
  <c r="M104" i="45"/>
  <c r="N104" i="45"/>
  <c r="O104" i="45"/>
  <c r="P104" i="45"/>
  <c r="Q104" i="45"/>
  <c r="R104" i="45"/>
  <c r="S104" i="45"/>
  <c r="T104" i="45"/>
  <c r="U104" i="45"/>
  <c r="B106" i="45"/>
  <c r="C106" i="45"/>
  <c r="D106" i="45"/>
  <c r="E106" i="45"/>
  <c r="F106" i="45"/>
  <c r="G106" i="45"/>
  <c r="H106" i="45"/>
  <c r="I106" i="45"/>
  <c r="J106" i="45"/>
  <c r="K106" i="45"/>
  <c r="L106" i="45"/>
  <c r="M106" i="45"/>
  <c r="N106" i="45"/>
  <c r="O106" i="45"/>
  <c r="P106" i="45"/>
  <c r="Q106" i="45"/>
  <c r="R106" i="45"/>
  <c r="S106" i="45"/>
  <c r="T106" i="45"/>
  <c r="U106" i="45"/>
  <c r="B108" i="45"/>
  <c r="C108" i="45"/>
  <c r="D108" i="45"/>
  <c r="E108" i="45"/>
  <c r="F108" i="45"/>
  <c r="G108" i="45"/>
  <c r="H108" i="45"/>
  <c r="I108" i="45"/>
  <c r="J108" i="45"/>
  <c r="K108" i="45"/>
  <c r="L108" i="45"/>
  <c r="M108" i="45"/>
  <c r="N108" i="45"/>
  <c r="O108" i="45"/>
  <c r="P108" i="45"/>
  <c r="Q108" i="45"/>
  <c r="R108" i="45"/>
  <c r="S108" i="45"/>
  <c r="T108" i="45"/>
  <c r="U108" i="45"/>
  <c r="B110" i="45"/>
  <c r="C110" i="45"/>
  <c r="D110" i="45"/>
  <c r="E110" i="45"/>
  <c r="F110" i="45"/>
  <c r="G110" i="45"/>
  <c r="H110" i="45"/>
  <c r="I110" i="45"/>
  <c r="J110" i="45"/>
  <c r="K110" i="45"/>
  <c r="L110" i="45"/>
  <c r="M110" i="45"/>
  <c r="N110" i="45"/>
  <c r="O110" i="45"/>
  <c r="P110" i="45"/>
  <c r="Q110" i="45"/>
  <c r="R110" i="45"/>
  <c r="S110" i="45"/>
  <c r="T110" i="45"/>
  <c r="U110" i="45"/>
  <c r="D112" i="45"/>
  <c r="E112" i="45"/>
  <c r="F112" i="45"/>
  <c r="G112" i="45"/>
  <c r="I112" i="45"/>
  <c r="K112" i="45"/>
  <c r="M112" i="45"/>
  <c r="O112" i="45"/>
  <c r="Q112" i="45"/>
  <c r="R112" i="45"/>
  <c r="U112" i="45"/>
  <c r="H125" i="45"/>
  <c r="O125" i="45"/>
  <c r="B126" i="45"/>
  <c r="C126" i="45"/>
  <c r="D126" i="45"/>
  <c r="E126" i="45"/>
  <c r="F126" i="45"/>
  <c r="G126" i="45"/>
  <c r="H126" i="45"/>
  <c r="I126" i="45"/>
  <c r="J126" i="45"/>
  <c r="K126" i="45"/>
  <c r="L126" i="45"/>
  <c r="M126" i="45"/>
  <c r="N126" i="45"/>
  <c r="O126" i="45"/>
  <c r="P126" i="45"/>
  <c r="Q126" i="45"/>
  <c r="R126" i="45"/>
  <c r="S126" i="45"/>
  <c r="T126" i="45"/>
  <c r="U126" i="45"/>
  <c r="B132" i="45"/>
  <c r="C132" i="45"/>
  <c r="D132" i="45"/>
  <c r="G132" i="45"/>
  <c r="H132" i="45"/>
  <c r="I132" i="45"/>
  <c r="J132" i="45"/>
  <c r="L132" i="45"/>
  <c r="N132" i="45"/>
  <c r="O132" i="45"/>
  <c r="P132" i="45"/>
  <c r="S132" i="45"/>
  <c r="T132" i="45"/>
  <c r="B133" i="45"/>
  <c r="C133" i="45"/>
  <c r="D133" i="45"/>
  <c r="E133" i="45"/>
  <c r="F133" i="45"/>
  <c r="G133" i="45"/>
  <c r="H133" i="45"/>
  <c r="I133" i="45"/>
  <c r="K133" i="45"/>
  <c r="L133" i="45"/>
  <c r="M133" i="45"/>
  <c r="N133" i="45"/>
  <c r="O133" i="45"/>
  <c r="P133" i="45"/>
  <c r="Q133" i="45"/>
  <c r="R133" i="45"/>
  <c r="S133" i="45"/>
  <c r="T133" i="45"/>
  <c r="U133" i="45"/>
  <c r="B136" i="45"/>
  <c r="C136" i="45"/>
  <c r="D136" i="45"/>
  <c r="E136" i="45"/>
  <c r="F136" i="45"/>
  <c r="G136" i="45"/>
  <c r="I136" i="45"/>
  <c r="J136" i="45"/>
  <c r="K136" i="45"/>
  <c r="L136" i="45"/>
  <c r="M136" i="45"/>
  <c r="N136" i="45"/>
  <c r="O136" i="45"/>
  <c r="P136" i="45"/>
  <c r="Q136" i="45"/>
  <c r="R136" i="45"/>
  <c r="S136" i="45"/>
  <c r="T136" i="45"/>
  <c r="U136" i="45"/>
  <c r="B142" i="45"/>
  <c r="C142" i="45"/>
  <c r="D142" i="45"/>
  <c r="E142" i="45"/>
  <c r="F142" i="45"/>
  <c r="G142" i="45"/>
  <c r="H142" i="45"/>
  <c r="I142" i="45"/>
  <c r="J142" i="45"/>
  <c r="K142" i="45"/>
  <c r="L142" i="45"/>
  <c r="M142" i="45"/>
  <c r="N142" i="45"/>
  <c r="O142" i="45"/>
  <c r="P142" i="45"/>
  <c r="Q142" i="45"/>
  <c r="R142" i="45"/>
  <c r="S142" i="45"/>
  <c r="T142" i="45"/>
  <c r="U142" i="45"/>
  <c r="B143" i="45"/>
  <c r="C143" i="45"/>
  <c r="D143" i="45"/>
  <c r="E143" i="45"/>
  <c r="F143" i="45"/>
  <c r="G143" i="45"/>
  <c r="H143" i="45"/>
  <c r="I143" i="45"/>
  <c r="J143" i="45"/>
  <c r="K143" i="45"/>
  <c r="L143" i="45"/>
  <c r="M143" i="45"/>
  <c r="N143" i="45"/>
  <c r="O143" i="45"/>
  <c r="P143" i="45"/>
  <c r="Q143" i="45"/>
  <c r="R143" i="45"/>
  <c r="S143" i="45"/>
  <c r="T143" i="45"/>
  <c r="U143" i="45"/>
  <c r="B144" i="45"/>
  <c r="C144" i="45"/>
  <c r="D144" i="45"/>
  <c r="E144" i="45"/>
  <c r="F144" i="45"/>
  <c r="G144" i="45"/>
  <c r="H144" i="45"/>
  <c r="I144" i="45"/>
  <c r="J144" i="45"/>
  <c r="K144" i="45"/>
  <c r="L144" i="45"/>
  <c r="M144" i="45"/>
  <c r="N144" i="45"/>
  <c r="O144" i="45"/>
  <c r="P144" i="45"/>
  <c r="Q144" i="45"/>
  <c r="R144" i="45"/>
  <c r="S144" i="45"/>
  <c r="T144" i="45"/>
  <c r="U144" i="45"/>
  <c r="B145" i="45"/>
  <c r="C145" i="45"/>
  <c r="D145" i="45"/>
  <c r="E145" i="45"/>
  <c r="F145" i="45"/>
  <c r="G145" i="45"/>
  <c r="H145" i="45"/>
  <c r="I145" i="45"/>
  <c r="J145" i="45"/>
  <c r="K145" i="45"/>
  <c r="L145" i="45"/>
  <c r="M145" i="45"/>
  <c r="N145" i="45"/>
  <c r="O145" i="45"/>
  <c r="P145" i="45"/>
  <c r="Q145" i="45"/>
  <c r="R145" i="45"/>
  <c r="S145" i="45"/>
  <c r="T145" i="45"/>
  <c r="U145" i="45"/>
  <c r="C146" i="45"/>
  <c r="F146" i="45"/>
  <c r="G146" i="45"/>
  <c r="J146" i="45"/>
  <c r="K146" i="45"/>
  <c r="N146" i="45"/>
  <c r="O146" i="45"/>
  <c r="P146" i="45"/>
  <c r="R146" i="45"/>
  <c r="S146" i="45"/>
  <c r="T146" i="45"/>
  <c r="B148" i="45"/>
  <c r="F148" i="45"/>
  <c r="G148" i="45"/>
  <c r="H148" i="45"/>
  <c r="J148" i="45"/>
  <c r="K148" i="45"/>
  <c r="N148" i="45"/>
  <c r="O148" i="45"/>
  <c r="P148" i="45"/>
  <c r="S148" i="45"/>
  <c r="T148" i="45"/>
  <c r="B150" i="45"/>
  <c r="C150" i="45"/>
  <c r="D150" i="45"/>
  <c r="E150" i="45"/>
  <c r="F150" i="45"/>
  <c r="G150" i="45"/>
  <c r="H150" i="45"/>
  <c r="I150" i="45"/>
  <c r="J150" i="45"/>
  <c r="K150" i="45"/>
  <c r="L150" i="45"/>
  <c r="M150" i="45"/>
  <c r="N150" i="45"/>
  <c r="O150" i="45"/>
  <c r="P150" i="45"/>
  <c r="Q150" i="45"/>
  <c r="R150" i="45"/>
  <c r="S150" i="45"/>
  <c r="T150" i="45"/>
  <c r="U150" i="45"/>
  <c r="B151" i="45"/>
  <c r="C151" i="45"/>
  <c r="D151" i="45"/>
  <c r="E151" i="45"/>
  <c r="F151" i="45"/>
  <c r="G151" i="45"/>
  <c r="H151" i="45"/>
  <c r="I151" i="45"/>
  <c r="J151" i="45"/>
  <c r="K151" i="45"/>
  <c r="L151" i="45"/>
  <c r="M151" i="45"/>
  <c r="N151" i="45"/>
  <c r="O151" i="45"/>
  <c r="P151" i="45"/>
  <c r="Q151" i="45"/>
  <c r="R151" i="45"/>
  <c r="S151" i="45"/>
  <c r="T151" i="45"/>
  <c r="U151" i="45"/>
  <c r="B152" i="45"/>
  <c r="B153" i="45" s="1"/>
  <c r="C152" i="45"/>
  <c r="D152" i="45"/>
  <c r="E152" i="45"/>
  <c r="F152" i="45"/>
  <c r="G152" i="45"/>
  <c r="H152" i="45"/>
  <c r="I152" i="45"/>
  <c r="J152" i="45"/>
  <c r="K152" i="45"/>
  <c r="K153" i="45"/>
  <c r="L152" i="45"/>
  <c r="M152" i="45"/>
  <c r="N152" i="45"/>
  <c r="O152" i="45"/>
  <c r="P152" i="45"/>
  <c r="P153" i="45" s="1"/>
  <c r="Q152" i="45"/>
  <c r="Q153" i="45" s="1"/>
  <c r="R152" i="45"/>
  <c r="S152" i="45"/>
  <c r="T152" i="45"/>
  <c r="T153" i="45" s="1"/>
  <c r="U152" i="45"/>
  <c r="U153" i="45"/>
  <c r="C153" i="45"/>
  <c r="R153" i="45"/>
  <c r="B154" i="45"/>
  <c r="B155" i="45" s="1"/>
  <c r="C154" i="45"/>
  <c r="C155" i="45" s="1"/>
  <c r="D154" i="45"/>
  <c r="E154" i="45"/>
  <c r="E155" i="45" s="1"/>
  <c r="F154" i="45"/>
  <c r="F155" i="45" s="1"/>
  <c r="G154" i="45"/>
  <c r="G155" i="45" s="1"/>
  <c r="H154" i="45"/>
  <c r="I154" i="45"/>
  <c r="J154" i="45"/>
  <c r="K154" i="45"/>
  <c r="K155" i="45" s="1"/>
  <c r="L154" i="45"/>
  <c r="L155" i="45" s="1"/>
  <c r="M154" i="45"/>
  <c r="M155" i="45"/>
  <c r="N154" i="45"/>
  <c r="N155" i="45" s="1"/>
  <c r="O154" i="45"/>
  <c r="P154" i="45"/>
  <c r="P155" i="45"/>
  <c r="Q154" i="45"/>
  <c r="R154" i="45"/>
  <c r="S154" i="45"/>
  <c r="S155" i="45" s="1"/>
  <c r="T154" i="45"/>
  <c r="T155" i="45" s="1"/>
  <c r="U154" i="45"/>
  <c r="U155" i="45"/>
  <c r="O155" i="45"/>
  <c r="Q155" i="45"/>
  <c r="B156" i="45"/>
  <c r="C156" i="45"/>
  <c r="D156" i="45"/>
  <c r="F156" i="45"/>
  <c r="N156" i="45"/>
  <c r="O156" i="45"/>
  <c r="P156" i="45"/>
  <c r="R156" i="45"/>
  <c r="S156" i="45"/>
  <c r="T156" i="45"/>
  <c r="F161" i="45"/>
  <c r="F6" i="68" s="1"/>
  <c r="M161" i="45"/>
  <c r="N161" i="45"/>
  <c r="N6" i="68"/>
  <c r="O161" i="45"/>
  <c r="O6" i="68"/>
  <c r="Q161" i="45"/>
  <c r="R161" i="45"/>
  <c r="R6" i="68"/>
  <c r="S161" i="45"/>
  <c r="T161" i="45"/>
  <c r="T6" i="68" s="1"/>
  <c r="U161" i="45"/>
  <c r="B164" i="45"/>
  <c r="C164" i="45"/>
  <c r="D164" i="45"/>
  <c r="I164" i="45"/>
  <c r="J164" i="45"/>
  <c r="L164" i="45"/>
  <c r="M164" i="45"/>
  <c r="N164" i="45"/>
  <c r="O164" i="45"/>
  <c r="P164" i="45"/>
  <c r="P197" i="45" s="1"/>
  <c r="Q164" i="45"/>
  <c r="Q197" i="45" s="1"/>
  <c r="R164" i="45"/>
  <c r="R197" i="45" s="1"/>
  <c r="S164" i="45"/>
  <c r="S197" i="45"/>
  <c r="U164" i="45"/>
  <c r="U197" i="45" s="1"/>
  <c r="B169" i="45"/>
  <c r="C169" i="45"/>
  <c r="D169" i="45"/>
  <c r="E169" i="45"/>
  <c r="F169" i="45"/>
  <c r="G169" i="45"/>
  <c r="H169" i="45"/>
  <c r="I169" i="45"/>
  <c r="J169" i="45"/>
  <c r="K169" i="45"/>
  <c r="L169" i="45"/>
  <c r="M169" i="45"/>
  <c r="N169" i="45"/>
  <c r="O169" i="45"/>
  <c r="P169" i="45"/>
  <c r="Q169" i="45"/>
  <c r="R169" i="45"/>
  <c r="S169" i="45"/>
  <c r="T169" i="45"/>
  <c r="U169" i="45"/>
  <c r="H174" i="45"/>
  <c r="O174" i="45"/>
  <c r="B175" i="45"/>
  <c r="B183" i="45" s="1"/>
  <c r="N175" i="45"/>
  <c r="N183" i="45"/>
  <c r="P175" i="45"/>
  <c r="P176" i="45"/>
  <c r="Q175" i="45"/>
  <c r="Q183" i="45"/>
  <c r="R175" i="45"/>
  <c r="R183" i="45"/>
  <c r="T175" i="45"/>
  <c r="T176" i="45"/>
  <c r="U175" i="45"/>
  <c r="U183" i="45"/>
  <c r="H182" i="45"/>
  <c r="B184" i="45"/>
  <c r="B185" i="45" s="1"/>
  <c r="C184" i="45"/>
  <c r="D184" i="45"/>
  <c r="D185" i="45" s="1"/>
  <c r="D186" i="45" s="1"/>
  <c r="E184" i="45"/>
  <c r="F184" i="45"/>
  <c r="G184" i="45"/>
  <c r="G185" i="45"/>
  <c r="G186" i="45" s="1"/>
  <c r="H184" i="45"/>
  <c r="I184" i="45"/>
  <c r="I185" i="45" s="1"/>
  <c r="I186" i="45" s="1"/>
  <c r="J184" i="45"/>
  <c r="J185" i="45"/>
  <c r="J186" i="45" s="1"/>
  <c r="K184" i="45"/>
  <c r="L184" i="45"/>
  <c r="L185" i="45" s="1"/>
  <c r="M184" i="45"/>
  <c r="M185" i="45"/>
  <c r="M186" i="45" s="1"/>
  <c r="N184" i="45"/>
  <c r="N185" i="45"/>
  <c r="O184" i="45"/>
  <c r="O185" i="45"/>
  <c r="P184" i="45"/>
  <c r="P185" i="45"/>
  <c r="Q184" i="45"/>
  <c r="Q185" i="45" s="1"/>
  <c r="Q186" i="45"/>
  <c r="R184" i="45"/>
  <c r="R185" i="45"/>
  <c r="S184" i="45"/>
  <c r="T184" i="45"/>
  <c r="U184" i="45"/>
  <c r="U185" i="45"/>
  <c r="U186" i="45" s="1"/>
  <c r="A185" i="45"/>
  <c r="M197" i="45"/>
  <c r="B202" i="45"/>
  <c r="C202" i="45"/>
  <c r="D202" i="45"/>
  <c r="E202" i="45"/>
  <c r="F202" i="45"/>
  <c r="G202" i="45"/>
  <c r="H202" i="45"/>
  <c r="I202" i="45"/>
  <c r="J202" i="45"/>
  <c r="K202" i="45"/>
  <c r="L202" i="45"/>
  <c r="M202" i="45"/>
  <c r="N202" i="45"/>
  <c r="O202" i="45"/>
  <c r="P202" i="45"/>
  <c r="Q202" i="45"/>
  <c r="R202" i="45"/>
  <c r="S202" i="45"/>
  <c r="T202" i="45"/>
  <c r="U202" i="45"/>
  <c r="B205" i="45"/>
  <c r="C205" i="45"/>
  <c r="D205" i="45"/>
  <c r="E205" i="45"/>
  <c r="F205" i="45"/>
  <c r="G205" i="45"/>
  <c r="H205" i="45"/>
  <c r="I205" i="45"/>
  <c r="J205" i="45"/>
  <c r="K205" i="45"/>
  <c r="L205" i="45"/>
  <c r="M205" i="45"/>
  <c r="N205" i="45"/>
  <c r="O205" i="45"/>
  <c r="P205" i="45"/>
  <c r="Q205" i="45"/>
  <c r="R205" i="45"/>
  <c r="S205" i="45"/>
  <c r="T205" i="45"/>
  <c r="U205" i="45"/>
  <c r="C208" i="45"/>
  <c r="D208" i="45"/>
  <c r="E208" i="45"/>
  <c r="G208" i="45"/>
  <c r="I208" i="45"/>
  <c r="J208" i="45"/>
  <c r="K208" i="45"/>
  <c r="M208" i="45"/>
  <c r="N208" i="45"/>
  <c r="O208" i="45"/>
  <c r="Q208" i="45"/>
  <c r="R208" i="45"/>
  <c r="S208" i="45"/>
  <c r="U208" i="45"/>
  <c r="B211" i="45"/>
  <c r="C211" i="45"/>
  <c r="D211" i="45"/>
  <c r="E211" i="45"/>
  <c r="F211" i="45"/>
  <c r="G211" i="45"/>
  <c r="H211" i="45"/>
  <c r="I211" i="45"/>
  <c r="J211" i="45"/>
  <c r="K211" i="45"/>
  <c r="L211" i="45"/>
  <c r="M211" i="45"/>
  <c r="N211" i="45"/>
  <c r="O211" i="45"/>
  <c r="P211" i="45"/>
  <c r="Q211" i="45"/>
  <c r="R211" i="45"/>
  <c r="S211" i="45"/>
  <c r="T211" i="45"/>
  <c r="U211" i="45"/>
  <c r="B214" i="45"/>
  <c r="C214" i="45"/>
  <c r="D214" i="45"/>
  <c r="E214" i="45"/>
  <c r="F214" i="45"/>
  <c r="G214" i="45"/>
  <c r="H214" i="45"/>
  <c r="I214" i="45"/>
  <c r="J214" i="45"/>
  <c r="K214" i="45"/>
  <c r="L214" i="45"/>
  <c r="M214" i="45"/>
  <c r="N214" i="45"/>
  <c r="O214" i="45"/>
  <c r="P214" i="45"/>
  <c r="Q214" i="45"/>
  <c r="R214" i="45"/>
  <c r="S214" i="45"/>
  <c r="T214" i="45"/>
  <c r="U214" i="45"/>
  <c r="E4" i="54"/>
  <c r="E5" i="54"/>
  <c r="H43" i="54"/>
  <c r="J43" i="54" s="1"/>
  <c r="E6" i="54"/>
  <c r="D44" i="54"/>
  <c r="F44" i="54"/>
  <c r="E7" i="54"/>
  <c r="H45" i="54"/>
  <c r="J45" i="54"/>
  <c r="E8" i="54"/>
  <c r="E9" i="54"/>
  <c r="H47" i="54"/>
  <c r="J47" i="54" s="1"/>
  <c r="E10" i="54"/>
  <c r="D48" i="54"/>
  <c r="F48" i="54"/>
  <c r="E11" i="54"/>
  <c r="H49" i="54"/>
  <c r="J49" i="54"/>
  <c r="E12" i="54"/>
  <c r="E13" i="54"/>
  <c r="H51" i="54"/>
  <c r="J51" i="54" s="1"/>
  <c r="I18" i="54"/>
  <c r="B19" i="54"/>
  <c r="E19" i="54"/>
  <c r="G19" i="54" s="1"/>
  <c r="B20" i="54"/>
  <c r="E20" i="54"/>
  <c r="G20" i="54"/>
  <c r="B21" i="54"/>
  <c r="E21" i="54"/>
  <c r="G21" i="54"/>
  <c r="B22" i="54"/>
  <c r="E22" i="54"/>
  <c r="G22" i="54"/>
  <c r="B23" i="54"/>
  <c r="E23" i="54"/>
  <c r="G23" i="54" s="1"/>
  <c r="B24" i="54"/>
  <c r="E24" i="54"/>
  <c r="G24" i="54"/>
  <c r="B25" i="54"/>
  <c r="E25" i="54"/>
  <c r="G25" i="54"/>
  <c r="B26" i="54"/>
  <c r="E26" i="54"/>
  <c r="G26" i="54"/>
  <c r="B27" i="54"/>
  <c r="E27" i="54"/>
  <c r="B28" i="54"/>
  <c r="E28" i="54"/>
  <c r="G28" i="54"/>
  <c r="C29" i="54"/>
  <c r="E31" i="54"/>
  <c r="G31" i="54"/>
  <c r="F31" i="54"/>
  <c r="E32" i="54"/>
  <c r="G32" i="54"/>
  <c r="F32" i="54"/>
  <c r="E33" i="54"/>
  <c r="G33" i="54" s="1"/>
  <c r="F33" i="54"/>
  <c r="E34" i="54"/>
  <c r="G34" i="54"/>
  <c r="F34" i="54"/>
  <c r="E35" i="54"/>
  <c r="F35" i="54"/>
  <c r="H35" i="54"/>
  <c r="I35" i="54" s="1"/>
  <c r="G35" i="54"/>
  <c r="C36" i="54"/>
  <c r="B42" i="54"/>
  <c r="B43" i="54"/>
  <c r="B44" i="54"/>
  <c r="H44" i="54"/>
  <c r="J44" i="54"/>
  <c r="B45" i="54"/>
  <c r="B46" i="54"/>
  <c r="B47" i="54"/>
  <c r="B48" i="54"/>
  <c r="H48" i="54"/>
  <c r="J48" i="54"/>
  <c r="B49" i="54"/>
  <c r="B50" i="54"/>
  <c r="B51" i="54"/>
  <c r="B52" i="54"/>
  <c r="F52" i="54"/>
  <c r="J52" i="54"/>
  <c r="B53" i="54"/>
  <c r="F53" i="54"/>
  <c r="J53" i="54"/>
  <c r="B54" i="54"/>
  <c r="F54" i="54"/>
  <c r="J54" i="54"/>
  <c r="B55" i="54"/>
  <c r="F55" i="54"/>
  <c r="J55" i="54"/>
  <c r="B56" i="54"/>
  <c r="F57" i="54"/>
  <c r="J57" i="54"/>
  <c r="C58" i="54"/>
  <c r="E58" i="54"/>
  <c r="G58" i="54"/>
  <c r="I58" i="54"/>
  <c r="M6" i="68"/>
  <c r="Q6" i="68"/>
  <c r="U6" i="68"/>
  <c r="B31" i="68"/>
  <c r="C34" i="68"/>
  <c r="D34" i="68"/>
  <c r="E34" i="68"/>
  <c r="F34" i="68"/>
  <c r="G34" i="68"/>
  <c r="H34" i="68"/>
  <c r="I34" i="68"/>
  <c r="J34" i="68"/>
  <c r="K34" i="68"/>
  <c r="L34" i="68"/>
  <c r="M34" i="68"/>
  <c r="C36" i="68"/>
  <c r="D36" i="68"/>
  <c r="E36" i="68"/>
  <c r="F36" i="68"/>
  <c r="G36" i="68"/>
  <c r="H36" i="68"/>
  <c r="I36" i="68"/>
  <c r="J36" i="68"/>
  <c r="K36" i="68"/>
  <c r="L36" i="68"/>
  <c r="M36" i="68"/>
  <c r="C38" i="68"/>
  <c r="D38" i="68"/>
  <c r="E38" i="68"/>
  <c r="F38" i="68"/>
  <c r="G38" i="68"/>
  <c r="H38" i="68"/>
  <c r="I38" i="68"/>
  <c r="J38" i="68"/>
  <c r="K38" i="68"/>
  <c r="L38" i="68"/>
  <c r="M38" i="68"/>
  <c r="C40" i="68"/>
  <c r="D40" i="68"/>
  <c r="E40" i="68"/>
  <c r="F40" i="68"/>
  <c r="G40" i="68"/>
  <c r="H40" i="68"/>
  <c r="I40" i="68"/>
  <c r="J40" i="68"/>
  <c r="K40" i="68"/>
  <c r="L40" i="68"/>
  <c r="M40" i="68"/>
  <c r="B13" i="28"/>
  <c r="B14" i="28"/>
  <c r="C14" i="28"/>
  <c r="D14" i="28"/>
  <c r="E14" i="28"/>
  <c r="F14" i="28"/>
  <c r="G14" i="28"/>
  <c r="H14" i="28"/>
  <c r="I14" i="28"/>
  <c r="J14" i="28"/>
  <c r="K14" i="28"/>
  <c r="M14" i="28"/>
  <c r="N14" i="28"/>
  <c r="O14" i="28"/>
  <c r="Q14" i="28"/>
  <c r="R14" i="28"/>
  <c r="T14" i="28"/>
  <c r="U14" i="28"/>
  <c r="B15" i="28"/>
  <c r="C15" i="28"/>
  <c r="D15" i="28"/>
  <c r="E15" i="28"/>
  <c r="F15" i="28"/>
  <c r="G15" i="28"/>
  <c r="H15" i="28"/>
  <c r="I15" i="28"/>
  <c r="J15" i="28"/>
  <c r="K15" i="28"/>
  <c r="L15" i="28"/>
  <c r="M15" i="28"/>
  <c r="N15" i="28"/>
  <c r="O15" i="28"/>
  <c r="P15" i="28"/>
  <c r="Q15" i="28"/>
  <c r="R15" i="28"/>
  <c r="S15" i="28"/>
  <c r="T15" i="28"/>
  <c r="U15" i="28"/>
  <c r="B16" i="28"/>
  <c r="C16" i="28"/>
  <c r="D16" i="28"/>
  <c r="E16" i="28"/>
  <c r="F16" i="28"/>
  <c r="G16" i="28"/>
  <c r="H16" i="28"/>
  <c r="I16" i="28"/>
  <c r="J16" i="28"/>
  <c r="K16" i="28"/>
  <c r="L16" i="28"/>
  <c r="M16" i="28"/>
  <c r="N16" i="28"/>
  <c r="O16" i="28"/>
  <c r="P16" i="28"/>
  <c r="Q16" i="28"/>
  <c r="R16" i="28"/>
  <c r="S16" i="28"/>
  <c r="T16" i="28"/>
  <c r="U16" i="28"/>
  <c r="B17" i="28"/>
  <c r="C17" i="28"/>
  <c r="D17" i="28"/>
  <c r="E17" i="28"/>
  <c r="F17" i="28"/>
  <c r="G17" i="28"/>
  <c r="H17" i="28"/>
  <c r="I17" i="28"/>
  <c r="J17" i="28"/>
  <c r="K17" i="28"/>
  <c r="L17" i="28"/>
  <c r="M17" i="28"/>
  <c r="N17" i="28"/>
  <c r="O17" i="28"/>
  <c r="P17" i="28"/>
  <c r="Q17" i="28"/>
  <c r="R17" i="28"/>
  <c r="S17" i="28"/>
  <c r="T17" i="28"/>
  <c r="U17" i="28"/>
  <c r="B18" i="28"/>
  <c r="C18" i="28"/>
  <c r="D18" i="28"/>
  <c r="E18" i="28"/>
  <c r="F18" i="28"/>
  <c r="G18" i="28"/>
  <c r="H18" i="28"/>
  <c r="I18" i="28"/>
  <c r="J18" i="28"/>
  <c r="K18" i="28"/>
  <c r="L18" i="28"/>
  <c r="M18" i="28"/>
  <c r="N18" i="28"/>
  <c r="O18" i="28"/>
  <c r="P18" i="28"/>
  <c r="Q18" i="28"/>
  <c r="R18" i="28"/>
  <c r="S18" i="28"/>
  <c r="T18" i="28"/>
  <c r="U18" i="28"/>
  <c r="B19" i="28"/>
  <c r="C19" i="28"/>
  <c r="D19" i="28"/>
  <c r="E19" i="28"/>
  <c r="F19" i="28"/>
  <c r="G19" i="28"/>
  <c r="H19" i="28"/>
  <c r="I19" i="28"/>
  <c r="J19" i="28"/>
  <c r="K19" i="28"/>
  <c r="L19" i="28"/>
  <c r="M19" i="28"/>
  <c r="N19" i="28"/>
  <c r="O19" i="28"/>
  <c r="P19" i="28"/>
  <c r="Q19" i="28"/>
  <c r="R19" i="28"/>
  <c r="S19" i="28"/>
  <c r="T19" i="28"/>
  <c r="U19" i="28"/>
  <c r="B25" i="28"/>
  <c r="C25" i="28"/>
  <c r="D25" i="28"/>
  <c r="E25" i="28"/>
  <c r="F25" i="28"/>
  <c r="G25" i="28"/>
  <c r="H25" i="28"/>
  <c r="I25" i="28"/>
  <c r="J25" i="28"/>
  <c r="K25" i="28"/>
  <c r="L25" i="28"/>
  <c r="M25" i="28"/>
  <c r="N25" i="28"/>
  <c r="O25" i="28"/>
  <c r="P25" i="28"/>
  <c r="Q25" i="28"/>
  <c r="R25" i="28"/>
  <c r="S25" i="28"/>
  <c r="T25" i="28"/>
  <c r="U25" i="28"/>
  <c r="B26" i="28"/>
  <c r="C26" i="28"/>
  <c r="D26" i="28"/>
  <c r="E26" i="28"/>
  <c r="F26" i="28"/>
  <c r="G26" i="28"/>
  <c r="H26" i="28"/>
  <c r="I26" i="28"/>
  <c r="J26" i="28"/>
  <c r="K26" i="28"/>
  <c r="L26" i="28"/>
  <c r="M26" i="28"/>
  <c r="N26" i="28"/>
  <c r="O26" i="28"/>
  <c r="P26" i="28"/>
  <c r="Q26" i="28"/>
  <c r="R26" i="28"/>
  <c r="S26" i="28"/>
  <c r="T26" i="28"/>
  <c r="U26" i="28"/>
  <c r="B27" i="28"/>
  <c r="C27" i="28"/>
  <c r="D27" i="28"/>
  <c r="E27" i="28"/>
  <c r="F27" i="28"/>
  <c r="G27" i="28"/>
  <c r="H27" i="28"/>
  <c r="I27" i="28"/>
  <c r="J27" i="28"/>
  <c r="K27" i="28"/>
  <c r="L27" i="28"/>
  <c r="M27" i="28"/>
  <c r="N27" i="28"/>
  <c r="O27" i="28"/>
  <c r="P27" i="28"/>
  <c r="Q27" i="28"/>
  <c r="R27" i="28"/>
  <c r="S27" i="28"/>
  <c r="T27" i="28"/>
  <c r="U27" i="28"/>
  <c r="B28" i="28"/>
  <c r="C28" i="28"/>
  <c r="D28" i="28"/>
  <c r="E28" i="28"/>
  <c r="F28" i="28"/>
  <c r="G28" i="28"/>
  <c r="H28" i="28"/>
  <c r="I28" i="28"/>
  <c r="J28" i="28"/>
  <c r="K28" i="28"/>
  <c r="L28" i="28"/>
  <c r="M28" i="28"/>
  <c r="N28" i="28"/>
  <c r="O28" i="28"/>
  <c r="P28" i="28"/>
  <c r="Q28" i="28"/>
  <c r="R28" i="28"/>
  <c r="S28" i="28"/>
  <c r="T28" i="28"/>
  <c r="U28" i="28"/>
  <c r="B29" i="28"/>
  <c r="C29" i="28"/>
  <c r="D29" i="28"/>
  <c r="E29" i="28"/>
  <c r="F29" i="28"/>
  <c r="G29" i="28"/>
  <c r="H29" i="28"/>
  <c r="I29" i="28"/>
  <c r="J29" i="28"/>
  <c r="K29" i="28"/>
  <c r="L29" i="28"/>
  <c r="M29" i="28"/>
  <c r="N29" i="28"/>
  <c r="O29" i="28"/>
  <c r="P29" i="28"/>
  <c r="Q29" i="28"/>
  <c r="R29" i="28"/>
  <c r="S29" i="28"/>
  <c r="T29" i="28"/>
  <c r="U29" i="28"/>
  <c r="B43" i="28"/>
  <c r="C43" i="28"/>
  <c r="D43" i="28"/>
  <c r="D55" i="28" s="1"/>
  <c r="E43" i="28"/>
  <c r="F43" i="28"/>
  <c r="G43" i="28"/>
  <c r="H43" i="28"/>
  <c r="I43" i="28"/>
  <c r="I55" i="28" s="1"/>
  <c r="J43" i="28"/>
  <c r="K43" i="28"/>
  <c r="L43" i="28"/>
  <c r="M43" i="28"/>
  <c r="N43" i="28"/>
  <c r="O43" i="28"/>
  <c r="P43" i="28"/>
  <c r="Q43" i="28"/>
  <c r="R43" i="28"/>
  <c r="S43" i="28"/>
  <c r="T43" i="28"/>
  <c r="U43" i="28"/>
  <c r="B45" i="28"/>
  <c r="B53" i="28"/>
  <c r="C45" i="28"/>
  <c r="C53" i="28" s="1"/>
  <c r="C55" i="28" s="1"/>
  <c r="D45" i="28"/>
  <c r="D53" i="28"/>
  <c r="E45" i="28"/>
  <c r="E53" i="28" s="1"/>
  <c r="E55" i="28" s="1"/>
  <c r="F45" i="28"/>
  <c r="F53" i="28"/>
  <c r="G45" i="28"/>
  <c r="G53" i="28" s="1"/>
  <c r="H45" i="28"/>
  <c r="H53" i="28"/>
  <c r="I45" i="28"/>
  <c r="I53" i="28"/>
  <c r="J45" i="28"/>
  <c r="J53" i="28"/>
  <c r="K45" i="28"/>
  <c r="L45" i="28"/>
  <c r="L53" i="28" s="1"/>
  <c r="M45" i="28"/>
  <c r="M53" i="28"/>
  <c r="N45" i="28"/>
  <c r="N53" i="28" s="1"/>
  <c r="N55" i="28" s="1"/>
  <c r="O45" i="28"/>
  <c r="P45" i="28"/>
  <c r="Q45" i="28"/>
  <c r="R45" i="28"/>
  <c r="S45" i="28"/>
  <c r="T45" i="28"/>
  <c r="U45" i="28"/>
  <c r="B46" i="28"/>
  <c r="C46" i="28"/>
  <c r="D46" i="28"/>
  <c r="E46" i="28"/>
  <c r="F46" i="28"/>
  <c r="G46" i="28"/>
  <c r="H46" i="28"/>
  <c r="I46" i="28"/>
  <c r="J46" i="28"/>
  <c r="K46" i="28"/>
  <c r="L46" i="28"/>
  <c r="M46" i="28"/>
  <c r="N46" i="28"/>
  <c r="O46" i="28"/>
  <c r="P46" i="28"/>
  <c r="Q46" i="28"/>
  <c r="R46" i="28"/>
  <c r="S46" i="28"/>
  <c r="T46" i="28"/>
  <c r="U46" i="28"/>
  <c r="O47" i="28"/>
  <c r="P47" i="28"/>
  <c r="Q47" i="28"/>
  <c r="R47" i="28"/>
  <c r="S47" i="28"/>
  <c r="T47" i="28"/>
  <c r="U47" i="28"/>
  <c r="U53" i="28" s="1"/>
  <c r="U55" i="28" s="1"/>
  <c r="O48" i="28"/>
  <c r="P48" i="28"/>
  <c r="Q48" i="28"/>
  <c r="R48" i="28"/>
  <c r="S48" i="28"/>
  <c r="T48" i="28"/>
  <c r="U48" i="28"/>
  <c r="B49" i="28"/>
  <c r="C49" i="28"/>
  <c r="D49" i="28"/>
  <c r="E49" i="28"/>
  <c r="F49" i="28"/>
  <c r="G49" i="28"/>
  <c r="H49" i="28"/>
  <c r="I49" i="28"/>
  <c r="J49" i="28"/>
  <c r="K49" i="28"/>
  <c r="L49" i="28"/>
  <c r="M49" i="28"/>
  <c r="N49" i="28"/>
  <c r="O49" i="28"/>
  <c r="P49" i="28"/>
  <c r="Q49" i="28"/>
  <c r="R49" i="28"/>
  <c r="S49" i="28"/>
  <c r="T49" i="28"/>
  <c r="U49" i="28"/>
  <c r="O50" i="28"/>
  <c r="P50" i="28"/>
  <c r="Q50" i="28"/>
  <c r="R50" i="28"/>
  <c r="S50" i="28"/>
  <c r="T50" i="28"/>
  <c r="U50" i="28"/>
  <c r="O51" i="28"/>
  <c r="P51" i="28"/>
  <c r="Q51" i="28"/>
  <c r="R51" i="28"/>
  <c r="S51" i="28"/>
  <c r="T51" i="28"/>
  <c r="U51" i="28"/>
  <c r="K53" i="28"/>
  <c r="K57" i="28"/>
  <c r="K63" i="28" s="1"/>
  <c r="O57" i="28"/>
  <c r="P57" i="28"/>
  <c r="Q57" i="28"/>
  <c r="R57" i="28"/>
  <c r="S57" i="28"/>
  <c r="T57" i="28"/>
  <c r="U57" i="28"/>
  <c r="O58" i="28"/>
  <c r="P58" i="28"/>
  <c r="Q58" i="28"/>
  <c r="R58" i="28"/>
  <c r="S58" i="28"/>
  <c r="T58" i="28"/>
  <c r="U58" i="28"/>
  <c r="B59" i="28"/>
  <c r="C59" i="28"/>
  <c r="N59" i="28"/>
  <c r="O59" i="28"/>
  <c r="O63" i="28" s="1"/>
  <c r="P59" i="28"/>
  <c r="Q59" i="28"/>
  <c r="R59" i="28"/>
  <c r="S59" i="28"/>
  <c r="T59" i="28"/>
  <c r="U59" i="28"/>
  <c r="B60" i="28"/>
  <c r="C60" i="28"/>
  <c r="D60" i="28"/>
  <c r="E60" i="28"/>
  <c r="F60" i="28"/>
  <c r="G60" i="28"/>
  <c r="H60" i="28"/>
  <c r="I60" i="28"/>
  <c r="J60" i="28"/>
  <c r="K60" i="28"/>
  <c r="L60" i="28"/>
  <c r="M60" i="28"/>
  <c r="N60" i="28"/>
  <c r="O60" i="28"/>
  <c r="P60" i="28"/>
  <c r="Q60" i="28"/>
  <c r="R60" i="28"/>
  <c r="S60" i="28"/>
  <c r="T60" i="28"/>
  <c r="U60" i="28"/>
  <c r="B61" i="28"/>
  <c r="G61" i="28"/>
  <c r="H61" i="28"/>
  <c r="N61" i="28"/>
  <c r="O61" i="28"/>
  <c r="P61" i="28"/>
  <c r="Q61" i="28"/>
  <c r="R61" i="28"/>
  <c r="S61" i="28"/>
  <c r="T61" i="28"/>
  <c r="U61" i="28"/>
  <c r="B62" i="28"/>
  <c r="C62" i="28"/>
  <c r="D62" i="28"/>
  <c r="E62" i="28"/>
  <c r="F62" i="28"/>
  <c r="F52" i="28" s="1"/>
  <c r="G62" i="28"/>
  <c r="H62" i="28"/>
  <c r="I62" i="28"/>
  <c r="J62" i="28"/>
  <c r="J52" i="28" s="1"/>
  <c r="K62" i="28"/>
  <c r="L62" i="28"/>
  <c r="M62" i="28"/>
  <c r="N62" i="28"/>
  <c r="N52" i="28" s="1"/>
  <c r="O62" i="28"/>
  <c r="P62" i="28"/>
  <c r="Q62" i="28"/>
  <c r="R62" i="28"/>
  <c r="R52" i="28" s="1"/>
  <c r="S62" i="28"/>
  <c r="T62" i="28"/>
  <c r="U62" i="28"/>
  <c r="B67" i="28"/>
  <c r="C67" i="28"/>
  <c r="C52" i="28" s="1"/>
  <c r="D67" i="28"/>
  <c r="D52" i="28"/>
  <c r="E67" i="28"/>
  <c r="E52" i="28" s="1"/>
  <c r="F67" i="28"/>
  <c r="G67" i="28"/>
  <c r="G52" i="28" s="1"/>
  <c r="H67" i="28"/>
  <c r="H52" i="28"/>
  <c r="I67" i="28"/>
  <c r="I52" i="28" s="1"/>
  <c r="J67" i="28"/>
  <c r="K67" i="28"/>
  <c r="K52" i="28" s="1"/>
  <c r="L67" i="28"/>
  <c r="L52" i="28"/>
  <c r="M67" i="28"/>
  <c r="M52" i="28" s="1"/>
  <c r="N67" i="28"/>
  <c r="O67" i="28"/>
  <c r="O52" i="28" s="1"/>
  <c r="P67" i="28"/>
  <c r="P52" i="28"/>
  <c r="Q67" i="28"/>
  <c r="Q52" i="28" s="1"/>
  <c r="R67" i="28"/>
  <c r="S67" i="28"/>
  <c r="S52" i="28" s="1"/>
  <c r="T67" i="28"/>
  <c r="T52" i="28"/>
  <c r="U67" i="28"/>
  <c r="U52" i="28" s="1"/>
  <c r="B3" i="46"/>
  <c r="B18" i="46" s="1"/>
  <c r="C3" i="46"/>
  <c r="C18" i="46" s="1"/>
  <c r="E3" i="46"/>
  <c r="E18" i="46" s="1"/>
  <c r="H3" i="46"/>
  <c r="H18" i="46" s="1"/>
  <c r="I3" i="46"/>
  <c r="I18" i="46" s="1"/>
  <c r="J3" i="46"/>
  <c r="L3" i="46"/>
  <c r="L18" i="46" s="1"/>
  <c r="M3" i="46"/>
  <c r="M18" i="46" s="1"/>
  <c r="N3" i="46"/>
  <c r="N18" i="46" s="1"/>
  <c r="Q3" i="46"/>
  <c r="Q18" i="46" s="1"/>
  <c r="T3" i="46"/>
  <c r="T18" i="46" s="1"/>
  <c r="C5" i="46"/>
  <c r="D5" i="46"/>
  <c r="E5" i="46"/>
  <c r="F5" i="46"/>
  <c r="G5" i="46"/>
  <c r="H5" i="46"/>
  <c r="I5" i="46"/>
  <c r="J5" i="46"/>
  <c r="K5" i="46"/>
  <c r="L5" i="46"/>
  <c r="M5" i="46"/>
  <c r="N5" i="46"/>
  <c r="O5" i="46"/>
  <c r="P5" i="46"/>
  <c r="Q5" i="46"/>
  <c r="R5" i="46"/>
  <c r="S5" i="46"/>
  <c r="T5" i="46"/>
  <c r="U5" i="46"/>
  <c r="C7" i="46"/>
  <c r="D7" i="46"/>
  <c r="E7" i="46"/>
  <c r="F7" i="46"/>
  <c r="G7" i="46"/>
  <c r="H7" i="46"/>
  <c r="I7" i="46"/>
  <c r="J7" i="46"/>
  <c r="K7" i="46"/>
  <c r="L7" i="46"/>
  <c r="M7" i="46"/>
  <c r="N7" i="46"/>
  <c r="O7" i="46"/>
  <c r="P7" i="46"/>
  <c r="Q7" i="46"/>
  <c r="R7" i="46"/>
  <c r="S7" i="46"/>
  <c r="T7" i="46"/>
  <c r="U7" i="46"/>
  <c r="C8" i="46"/>
  <c r="D8" i="46"/>
  <c r="E8" i="46"/>
  <c r="F8" i="46"/>
  <c r="G8" i="46"/>
  <c r="H8" i="46"/>
  <c r="I8" i="46"/>
  <c r="J8" i="46"/>
  <c r="K8" i="46"/>
  <c r="L8" i="46"/>
  <c r="M8" i="46"/>
  <c r="N8" i="46"/>
  <c r="O8" i="46"/>
  <c r="P8" i="46"/>
  <c r="Q8" i="46"/>
  <c r="R8" i="46"/>
  <c r="S8" i="46"/>
  <c r="T8" i="46"/>
  <c r="U8" i="46"/>
  <c r="C9" i="46"/>
  <c r="D9" i="46"/>
  <c r="E9" i="46"/>
  <c r="F9" i="46"/>
  <c r="G9" i="46"/>
  <c r="H9" i="46"/>
  <c r="I9" i="46"/>
  <c r="J9" i="46"/>
  <c r="K9" i="46"/>
  <c r="L9" i="46"/>
  <c r="M9" i="46"/>
  <c r="N9" i="46"/>
  <c r="O9" i="46"/>
  <c r="P9" i="46"/>
  <c r="Q9" i="46"/>
  <c r="R9" i="46"/>
  <c r="S9" i="46"/>
  <c r="T9" i="46"/>
  <c r="U9" i="46"/>
  <c r="B10" i="46"/>
  <c r="C10" i="46"/>
  <c r="D10" i="46"/>
  <c r="E10" i="46"/>
  <c r="F10" i="46"/>
  <c r="G10" i="46"/>
  <c r="H10" i="46"/>
  <c r="I10" i="46"/>
  <c r="J10" i="46"/>
  <c r="K10" i="46"/>
  <c r="L10" i="46"/>
  <c r="M10" i="46"/>
  <c r="N10" i="46"/>
  <c r="O10" i="46"/>
  <c r="P10" i="46"/>
  <c r="Q10" i="46"/>
  <c r="R10" i="46"/>
  <c r="S10" i="46"/>
  <c r="T10" i="46"/>
  <c r="U10" i="46"/>
  <c r="B11" i="46"/>
  <c r="C11" i="46"/>
  <c r="D11" i="46"/>
  <c r="E11" i="46"/>
  <c r="F11" i="46"/>
  <c r="G11" i="46"/>
  <c r="H11" i="46"/>
  <c r="I11" i="46"/>
  <c r="J11" i="46"/>
  <c r="K11" i="46"/>
  <c r="L11" i="46"/>
  <c r="M11" i="46"/>
  <c r="N11" i="46"/>
  <c r="O11" i="46"/>
  <c r="P11" i="46"/>
  <c r="Q11" i="46"/>
  <c r="R11" i="46"/>
  <c r="S11" i="46"/>
  <c r="T11" i="46"/>
  <c r="U11" i="46"/>
  <c r="B14" i="46"/>
  <c r="C14" i="46"/>
  <c r="D14" i="46"/>
  <c r="E14" i="46"/>
  <c r="F14" i="46"/>
  <c r="G14" i="46"/>
  <c r="H14" i="46"/>
  <c r="I14" i="46"/>
  <c r="J14" i="46"/>
  <c r="K14" i="46"/>
  <c r="L14" i="46"/>
  <c r="M14" i="46"/>
  <c r="N14" i="46"/>
  <c r="O14" i="46"/>
  <c r="P14" i="46"/>
  <c r="Q14" i="46"/>
  <c r="R14" i="46"/>
  <c r="S14" i="46"/>
  <c r="T14" i="46"/>
  <c r="U14" i="46"/>
  <c r="J18" i="46"/>
  <c r="B20" i="46"/>
  <c r="C20" i="46"/>
  <c r="D20" i="46"/>
  <c r="E20" i="46"/>
  <c r="F20" i="46"/>
  <c r="G20" i="46"/>
  <c r="H20" i="46"/>
  <c r="I20" i="46"/>
  <c r="J20" i="46"/>
  <c r="K20" i="46"/>
  <c r="L20" i="46"/>
  <c r="M20" i="46"/>
  <c r="N20" i="46"/>
  <c r="O20" i="46"/>
  <c r="O26" i="46" s="1"/>
  <c r="P20" i="46"/>
  <c r="Q20" i="46"/>
  <c r="R20" i="46"/>
  <c r="S20" i="46"/>
  <c r="S26" i="46" s="1"/>
  <c r="T20" i="46"/>
  <c r="U20" i="46"/>
  <c r="B22" i="46"/>
  <c r="C22" i="46"/>
  <c r="D22" i="46"/>
  <c r="E22" i="46"/>
  <c r="F22" i="46"/>
  <c r="G22" i="46"/>
  <c r="H22" i="46"/>
  <c r="I22" i="46"/>
  <c r="J22" i="46"/>
  <c r="K22" i="46"/>
  <c r="L22" i="46"/>
  <c r="M22" i="46"/>
  <c r="N22" i="46"/>
  <c r="O22" i="46"/>
  <c r="O21" i="46"/>
  <c r="P22" i="46"/>
  <c r="P21" i="46" s="1"/>
  <c r="Q22" i="46"/>
  <c r="R22" i="46"/>
  <c r="R21" i="46"/>
  <c r="S22" i="46"/>
  <c r="T22" i="46"/>
  <c r="U22" i="46"/>
  <c r="B23" i="46"/>
  <c r="C23" i="46"/>
  <c r="D23" i="46"/>
  <c r="E23" i="46"/>
  <c r="F23" i="46"/>
  <c r="G23" i="46"/>
  <c r="H23" i="46"/>
  <c r="I23" i="46"/>
  <c r="J23" i="46"/>
  <c r="K23" i="46"/>
  <c r="L23" i="46"/>
  <c r="M23" i="46"/>
  <c r="M21" i="46" s="1"/>
  <c r="M26" i="46" s="1"/>
  <c r="N23" i="46"/>
  <c r="O23" i="46"/>
  <c r="P23" i="46"/>
  <c r="Q23" i="46"/>
  <c r="R23" i="46"/>
  <c r="S23" i="46"/>
  <c r="T23" i="46"/>
  <c r="U23" i="46"/>
  <c r="U21" i="46" s="1"/>
  <c r="U26" i="46" s="1"/>
  <c r="B24" i="46"/>
  <c r="C24" i="46"/>
  <c r="D24" i="46"/>
  <c r="E24" i="46"/>
  <c r="F24" i="46"/>
  <c r="G24" i="46"/>
  <c r="H24" i="46"/>
  <c r="I24" i="46"/>
  <c r="J24" i="46"/>
  <c r="K24" i="46"/>
  <c r="L24" i="46"/>
  <c r="M24" i="46"/>
  <c r="N24" i="46"/>
  <c r="N21" i="46"/>
  <c r="N26" i="46" s="1"/>
  <c r="O24" i="46"/>
  <c r="P24" i="46"/>
  <c r="Q24" i="46"/>
  <c r="R24" i="46"/>
  <c r="S24" i="46"/>
  <c r="T24" i="46"/>
  <c r="T21" i="46"/>
  <c r="U24" i="46"/>
  <c r="B25" i="46"/>
  <c r="C25" i="46"/>
  <c r="D25" i="46"/>
  <c r="E25" i="46"/>
  <c r="F25" i="46"/>
  <c r="M25" i="46"/>
  <c r="N25" i="46"/>
  <c r="O25" i="46"/>
  <c r="P25" i="46"/>
  <c r="Q25" i="46"/>
  <c r="R25" i="46"/>
  <c r="S25" i="46"/>
  <c r="S21" i="46"/>
  <c r="T25" i="46"/>
  <c r="U25" i="46"/>
  <c r="B27" i="46"/>
  <c r="C27" i="46"/>
  <c r="D27" i="46"/>
  <c r="E27" i="46"/>
  <c r="F27" i="46"/>
  <c r="G27" i="46"/>
  <c r="H27" i="46"/>
  <c r="I27" i="46"/>
  <c r="J27" i="46"/>
  <c r="K27" i="46"/>
  <c r="L27" i="46"/>
  <c r="M27" i="46"/>
  <c r="N27" i="46"/>
  <c r="O27" i="46"/>
  <c r="P27" i="46"/>
  <c r="Q27" i="46"/>
  <c r="R27" i="46"/>
  <c r="S27" i="46"/>
  <c r="T27" i="46"/>
  <c r="U27" i="46"/>
  <c r="B28" i="46"/>
  <c r="C28" i="46"/>
  <c r="D28" i="46"/>
  <c r="E28" i="46"/>
  <c r="F28" i="46"/>
  <c r="G28" i="46"/>
  <c r="H28" i="46"/>
  <c r="I28" i="46"/>
  <c r="J28" i="46"/>
  <c r="K28" i="46"/>
  <c r="L28" i="46"/>
  <c r="M28" i="46"/>
  <c r="N28" i="46"/>
  <c r="O28" i="46"/>
  <c r="P28" i="46"/>
  <c r="Q28" i="46"/>
  <c r="R28" i="46"/>
  <c r="S28" i="46"/>
  <c r="T28" i="46"/>
  <c r="U28" i="46"/>
  <c r="B29" i="46"/>
  <c r="C29" i="46"/>
  <c r="D29" i="46"/>
  <c r="E29" i="46"/>
  <c r="F29" i="46"/>
  <c r="G29" i="46"/>
  <c r="H29" i="46"/>
  <c r="I29" i="46"/>
  <c r="J29" i="46"/>
  <c r="K29" i="46"/>
  <c r="L29" i="46"/>
  <c r="M29" i="46"/>
  <c r="N29" i="46"/>
  <c r="O29" i="46"/>
  <c r="P29" i="46"/>
  <c r="Q29" i="46"/>
  <c r="R29" i="46"/>
  <c r="S29" i="46"/>
  <c r="T29" i="46"/>
  <c r="U29" i="46"/>
  <c r="B30" i="46"/>
  <c r="C30" i="46"/>
  <c r="D30" i="46"/>
  <c r="E30" i="46"/>
  <c r="F30" i="46"/>
  <c r="G30" i="46"/>
  <c r="H30" i="46"/>
  <c r="I30" i="46"/>
  <c r="J30" i="46"/>
  <c r="K30" i="46"/>
  <c r="L30" i="46"/>
  <c r="M30" i="46"/>
  <c r="N30" i="46"/>
  <c r="O30" i="46"/>
  <c r="P30" i="46"/>
  <c r="Q30" i="46"/>
  <c r="R30" i="46"/>
  <c r="S30" i="46"/>
  <c r="T30" i="46"/>
  <c r="U30" i="46"/>
  <c r="B31" i="46"/>
  <c r="C31" i="46"/>
  <c r="D31" i="46"/>
  <c r="E31" i="46"/>
  <c r="F31" i="46"/>
  <c r="G31" i="46"/>
  <c r="H31" i="46"/>
  <c r="I31" i="46"/>
  <c r="J31" i="46"/>
  <c r="K31" i="46"/>
  <c r="L31" i="46"/>
  <c r="M31" i="46"/>
  <c r="N31" i="46"/>
  <c r="O31" i="46"/>
  <c r="P31" i="46"/>
  <c r="Q31" i="46"/>
  <c r="R31" i="46"/>
  <c r="S31" i="46"/>
  <c r="T31" i="46"/>
  <c r="U31" i="46"/>
  <c r="B32" i="46"/>
  <c r="B33" i="46" s="1"/>
  <c r="B35" i="46"/>
  <c r="C35" i="46"/>
  <c r="D35" i="46"/>
  <c r="E35" i="46"/>
  <c r="F35" i="46"/>
  <c r="G35" i="46"/>
  <c r="H35" i="46"/>
  <c r="I35" i="46"/>
  <c r="J35" i="46"/>
  <c r="K35" i="46"/>
  <c r="L35" i="46"/>
  <c r="M35" i="46"/>
  <c r="N35" i="46"/>
  <c r="O35" i="46"/>
  <c r="P35" i="46"/>
  <c r="Q35" i="46"/>
  <c r="R35" i="46"/>
  <c r="S35" i="46"/>
  <c r="T35" i="46"/>
  <c r="U35" i="46"/>
  <c r="B37" i="46"/>
  <c r="C37" i="46"/>
  <c r="D37" i="46"/>
  <c r="E37" i="46"/>
  <c r="F37" i="46"/>
  <c r="G37" i="46"/>
  <c r="H37" i="46"/>
  <c r="I37" i="46"/>
  <c r="J37" i="46"/>
  <c r="K37" i="46"/>
  <c r="L37" i="46"/>
  <c r="M37" i="46"/>
  <c r="N37" i="46"/>
  <c r="O37" i="46"/>
  <c r="P37" i="46"/>
  <c r="Q37" i="46"/>
  <c r="R37" i="46"/>
  <c r="S37" i="46"/>
  <c r="T37" i="46"/>
  <c r="U37" i="46"/>
  <c r="B43" i="46"/>
  <c r="C43" i="46"/>
  <c r="D43" i="46"/>
  <c r="E43" i="46"/>
  <c r="F43" i="46"/>
  <c r="G43" i="46"/>
  <c r="H43" i="46"/>
  <c r="I43" i="46"/>
  <c r="J43" i="46"/>
  <c r="K43" i="46"/>
  <c r="L43" i="46"/>
  <c r="M43" i="46"/>
  <c r="N43" i="46"/>
  <c r="O43" i="46"/>
  <c r="P43" i="46"/>
  <c r="Q43" i="46"/>
  <c r="R43" i="46"/>
  <c r="S43" i="46"/>
  <c r="T43" i="46"/>
  <c r="U43" i="46"/>
  <c r="B44" i="46"/>
  <c r="C44" i="46"/>
  <c r="D44" i="46"/>
  <c r="E44" i="46"/>
  <c r="F44" i="46"/>
  <c r="G44" i="46"/>
  <c r="H44" i="46"/>
  <c r="I44" i="46"/>
  <c r="J44" i="46"/>
  <c r="K44" i="46"/>
  <c r="L44" i="46"/>
  <c r="M44" i="46"/>
  <c r="N44" i="46"/>
  <c r="O44" i="46"/>
  <c r="P44" i="46"/>
  <c r="Q44" i="46"/>
  <c r="R44" i="46"/>
  <c r="S44" i="46"/>
  <c r="T44" i="46"/>
  <c r="U44" i="46"/>
  <c r="B45" i="46"/>
  <c r="C45" i="46"/>
  <c r="D45" i="46"/>
  <c r="E45" i="46"/>
  <c r="F45" i="46"/>
  <c r="G45" i="46"/>
  <c r="H45" i="46"/>
  <c r="I45" i="46"/>
  <c r="J45" i="46"/>
  <c r="K45" i="46"/>
  <c r="L45" i="46"/>
  <c r="M45" i="46"/>
  <c r="N45" i="46"/>
  <c r="O45" i="46"/>
  <c r="P45" i="46"/>
  <c r="Q45" i="46"/>
  <c r="R45" i="46"/>
  <c r="S45" i="46"/>
  <c r="T45" i="46"/>
  <c r="U45" i="46"/>
  <c r="B46" i="46"/>
  <c r="C46" i="46"/>
  <c r="D46" i="46"/>
  <c r="E46" i="46"/>
  <c r="F46" i="46"/>
  <c r="G46" i="46"/>
  <c r="H46" i="46"/>
  <c r="I46" i="46"/>
  <c r="J46" i="46"/>
  <c r="K46" i="46"/>
  <c r="L46" i="46"/>
  <c r="M46" i="46"/>
  <c r="N46" i="46"/>
  <c r="O46" i="46"/>
  <c r="P46" i="46"/>
  <c r="Q46" i="46"/>
  <c r="R46" i="46"/>
  <c r="S46" i="46"/>
  <c r="T46" i="46"/>
  <c r="U46" i="46"/>
  <c r="B48" i="46"/>
  <c r="C48" i="46"/>
  <c r="D48" i="46"/>
  <c r="E48" i="46"/>
  <c r="F48" i="46"/>
  <c r="G48" i="46"/>
  <c r="H48" i="46"/>
  <c r="I48" i="46"/>
  <c r="J48" i="46"/>
  <c r="K48" i="46"/>
  <c r="L48" i="46"/>
  <c r="M48" i="46"/>
  <c r="N48" i="46"/>
  <c r="O48" i="46"/>
  <c r="P48" i="46"/>
  <c r="Q48" i="46"/>
  <c r="R48" i="46"/>
  <c r="S48" i="46"/>
  <c r="T48" i="46"/>
  <c r="U48" i="46"/>
  <c r="B49" i="46"/>
  <c r="C49" i="46"/>
  <c r="D49" i="46"/>
  <c r="E49" i="46"/>
  <c r="F49" i="46"/>
  <c r="M49" i="46"/>
  <c r="N49" i="46"/>
  <c r="O49" i="46"/>
  <c r="P49" i="46"/>
  <c r="Q49" i="46"/>
  <c r="R49" i="46"/>
  <c r="S49" i="46"/>
  <c r="T49" i="46"/>
  <c r="U49" i="46"/>
  <c r="B52" i="46"/>
  <c r="C52" i="46"/>
  <c r="D52" i="46"/>
  <c r="E52" i="46"/>
  <c r="F52" i="46"/>
  <c r="G52" i="46"/>
  <c r="H52" i="46"/>
  <c r="I52" i="46"/>
  <c r="J52" i="46"/>
  <c r="K52" i="46"/>
  <c r="L52" i="46"/>
  <c r="M52" i="46"/>
  <c r="N52" i="46"/>
  <c r="O52" i="46"/>
  <c r="P52" i="46"/>
  <c r="Q52" i="46"/>
  <c r="R52" i="46"/>
  <c r="S52" i="46"/>
  <c r="T52" i="46"/>
  <c r="U52" i="46"/>
  <c r="B53" i="46"/>
  <c r="B54" i="46"/>
  <c r="B55" i="46"/>
  <c r="B59" i="46" s="1"/>
  <c r="C55" i="46"/>
  <c r="D55" i="46"/>
  <c r="E55" i="46"/>
  <c r="F55" i="46"/>
  <c r="G55" i="46"/>
  <c r="H55" i="46"/>
  <c r="I55" i="46"/>
  <c r="J55" i="46"/>
  <c r="K55" i="46"/>
  <c r="L55" i="46"/>
  <c r="M55" i="46"/>
  <c r="N55" i="46"/>
  <c r="N59" i="46"/>
  <c r="O55" i="46"/>
  <c r="P55" i="46"/>
  <c r="Q55" i="46"/>
  <c r="R55" i="46"/>
  <c r="R59" i="46" s="1"/>
  <c r="S55" i="46"/>
  <c r="T55" i="46"/>
  <c r="U55" i="46"/>
  <c r="B56" i="46"/>
  <c r="C56" i="46"/>
  <c r="D56" i="46"/>
  <c r="E56" i="46"/>
  <c r="F56" i="46"/>
  <c r="G56" i="46"/>
  <c r="H56" i="46"/>
  <c r="I56" i="46"/>
  <c r="J56" i="46"/>
  <c r="K56" i="46"/>
  <c r="L56" i="46"/>
  <c r="M56" i="46"/>
  <c r="N56" i="46"/>
  <c r="O56" i="46"/>
  <c r="P56" i="46"/>
  <c r="Q56" i="46"/>
  <c r="R56" i="46"/>
  <c r="S56" i="46"/>
  <c r="T56" i="46"/>
  <c r="T59" i="46" s="1"/>
  <c r="U56" i="46"/>
  <c r="B57" i="46"/>
  <c r="C57" i="46"/>
  <c r="D57" i="46"/>
  <c r="E57" i="46"/>
  <c r="F57" i="46"/>
  <c r="G57" i="46"/>
  <c r="H57" i="46"/>
  <c r="I57" i="46"/>
  <c r="J57" i="46"/>
  <c r="K57" i="46"/>
  <c r="L57" i="46"/>
  <c r="M57" i="46"/>
  <c r="N57" i="46"/>
  <c r="O57" i="46"/>
  <c r="P57" i="46"/>
  <c r="Q57" i="46"/>
  <c r="R57" i="46"/>
  <c r="S57" i="46"/>
  <c r="T57" i="46"/>
  <c r="U57" i="46"/>
  <c r="B58" i="46"/>
  <c r="C58" i="46"/>
  <c r="C59" i="46"/>
  <c r="D58" i="46"/>
  <c r="D59" i="46" s="1"/>
  <c r="E58" i="46"/>
  <c r="F58" i="46"/>
  <c r="F59" i="46" s="1"/>
  <c r="G58" i="46"/>
  <c r="G59" i="46" s="1"/>
  <c r="H58" i="46"/>
  <c r="I58" i="46"/>
  <c r="J58" i="46"/>
  <c r="J59" i="46" s="1"/>
  <c r="K58" i="46"/>
  <c r="L58" i="46"/>
  <c r="M58" i="46"/>
  <c r="N58" i="46"/>
  <c r="O58" i="46"/>
  <c r="O59" i="46"/>
  <c r="P58" i="46"/>
  <c r="Q58" i="46"/>
  <c r="R58" i="46"/>
  <c r="S58" i="46"/>
  <c r="T58" i="46"/>
  <c r="U58" i="46"/>
  <c r="B61" i="46"/>
  <c r="B62" i="46"/>
  <c r="C62" i="46"/>
  <c r="D62" i="46"/>
  <c r="E62" i="46"/>
  <c r="F62" i="46"/>
  <c r="G62" i="46"/>
  <c r="H62" i="46"/>
  <c r="I62" i="46"/>
  <c r="J62" i="46"/>
  <c r="K62" i="46"/>
  <c r="L62" i="46"/>
  <c r="M62" i="46"/>
  <c r="N62" i="46"/>
  <c r="O62" i="46"/>
  <c r="P62" i="46"/>
  <c r="Q62" i="46"/>
  <c r="R62" i="46"/>
  <c r="S62" i="46"/>
  <c r="T62" i="46"/>
  <c r="U62" i="46"/>
  <c r="U8" i="47"/>
  <c r="U31" i="47"/>
  <c r="S8" i="47"/>
  <c r="S31" i="47"/>
  <c r="Q8" i="47"/>
  <c r="Q31" i="47"/>
  <c r="O8" i="47"/>
  <c r="O31" i="47"/>
  <c r="O32" i="47"/>
  <c r="M8" i="47"/>
  <c r="K8" i="47"/>
  <c r="K31" i="47"/>
  <c r="K32" i="47" s="1"/>
  <c r="I8" i="47"/>
  <c r="I31" i="47"/>
  <c r="G8" i="47"/>
  <c r="G31" i="47"/>
  <c r="G32" i="47" s="1"/>
  <c r="E8" i="47"/>
  <c r="C8" i="47"/>
  <c r="C31" i="47"/>
  <c r="U29" i="47"/>
  <c r="U32" i="47" s="1"/>
  <c r="U19" i="47"/>
  <c r="S29" i="47"/>
  <c r="S19" i="47"/>
  <c r="Q29" i="47"/>
  <c r="Q19" i="47"/>
  <c r="O29" i="47"/>
  <c r="O19" i="47"/>
  <c r="M29" i="47"/>
  <c r="M32" i="47" s="1"/>
  <c r="M19" i="47"/>
  <c r="K29" i="47"/>
  <c r="K19" i="47"/>
  <c r="I29" i="47"/>
  <c r="I32" i="47" s="1"/>
  <c r="I19" i="47"/>
  <c r="G29" i="47"/>
  <c r="G19" i="47"/>
  <c r="E29" i="47"/>
  <c r="E19" i="47"/>
  <c r="C29" i="47"/>
  <c r="C19" i="47"/>
  <c r="U15" i="67"/>
  <c r="U237" i="67" s="1"/>
  <c r="U154" i="67"/>
  <c r="S15" i="67"/>
  <c r="S237" i="67"/>
  <c r="S154" i="67"/>
  <c r="Q15" i="67"/>
  <c r="Q237" i="67" s="1"/>
  <c r="Q154" i="67"/>
  <c r="O15" i="67"/>
  <c r="O237" i="67" s="1"/>
  <c r="O154" i="67"/>
  <c r="M15" i="67"/>
  <c r="M237" i="67" s="1"/>
  <c r="M154" i="67"/>
  <c r="G15" i="67"/>
  <c r="G237" i="67" s="1"/>
  <c r="C15" i="67"/>
  <c r="C237" i="67" s="1"/>
  <c r="C154" i="67"/>
  <c r="T5" i="67"/>
  <c r="T173" i="67"/>
  <c r="T174" i="67" s="1"/>
  <c r="R5" i="67"/>
  <c r="R173" i="67"/>
  <c r="R174" i="67"/>
  <c r="P5" i="67"/>
  <c r="P173" i="67"/>
  <c r="P174" i="67"/>
  <c r="N5" i="67"/>
  <c r="N173" i="67"/>
  <c r="N174" i="67" s="1"/>
  <c r="D5" i="67"/>
  <c r="D173" i="67"/>
  <c r="D174" i="67" s="1"/>
  <c r="B5" i="67"/>
  <c r="B227" i="67" s="1"/>
  <c r="B173" i="67"/>
  <c r="B174" i="67" s="1"/>
  <c r="U11" i="59"/>
  <c r="U59" i="59" s="1"/>
  <c r="T3" i="47"/>
  <c r="T4" i="67"/>
  <c r="T78" i="67" s="1"/>
  <c r="T91" i="67" s="1"/>
  <c r="T98" i="67" s="1"/>
  <c r="T112" i="67" s="1"/>
  <c r="T130" i="67" s="1"/>
  <c r="T140" i="67" s="1"/>
  <c r="T159" i="67" s="1"/>
  <c r="T180" i="67" s="1"/>
  <c r="T202" i="67" s="1"/>
  <c r="T213" i="67" s="1"/>
  <c r="T9" i="26"/>
  <c r="T35" i="26" s="1"/>
  <c r="R3" i="47"/>
  <c r="R4" i="67"/>
  <c r="N4" i="67"/>
  <c r="N226" i="67" s="1"/>
  <c r="N300" i="67" s="1"/>
  <c r="N313" i="67" s="1"/>
  <c r="N320" i="67" s="1"/>
  <c r="N334" i="67" s="1"/>
  <c r="N352" i="67" s="1"/>
  <c r="N362" i="67" s="1"/>
  <c r="N381" i="67" s="1"/>
  <c r="N402" i="67" s="1"/>
  <c r="N424" i="67" s="1"/>
  <c r="N435" i="67" s="1"/>
  <c r="M11" i="59"/>
  <c r="M59" i="59" s="1"/>
  <c r="L3" i="47"/>
  <c r="L9" i="26"/>
  <c r="K11" i="59"/>
  <c r="K59" i="59" s="1"/>
  <c r="J3" i="47"/>
  <c r="J4" i="67"/>
  <c r="J9" i="26"/>
  <c r="I11" i="59"/>
  <c r="I59" i="59"/>
  <c r="H3" i="47"/>
  <c r="H4" i="67"/>
  <c r="H226" i="67" s="1"/>
  <c r="H9" i="26"/>
  <c r="H27" i="26" s="1"/>
  <c r="F3" i="47"/>
  <c r="E11" i="59"/>
  <c r="E59" i="59" s="1"/>
  <c r="D9" i="26"/>
  <c r="C11" i="59"/>
  <c r="C59" i="59"/>
  <c r="B3" i="47"/>
  <c r="B4" i="67"/>
  <c r="B226" i="67" s="1"/>
  <c r="B9" i="26"/>
  <c r="T38" i="47"/>
  <c r="T43" i="47" s="1"/>
  <c r="T80" i="45" s="1"/>
  <c r="R38" i="47"/>
  <c r="R43" i="47" s="1"/>
  <c r="R94" i="67" s="1"/>
  <c r="R164" i="67"/>
  <c r="P38" i="47"/>
  <c r="P43" i="47"/>
  <c r="P164" i="67"/>
  <c r="N38" i="47"/>
  <c r="N43" i="47"/>
  <c r="N94" i="67"/>
  <c r="N164" i="67"/>
  <c r="L164" i="67"/>
  <c r="D38" i="47"/>
  <c r="D164" i="67"/>
  <c r="B187" i="67"/>
  <c r="N3" i="51"/>
  <c r="N3" i="26" s="1"/>
  <c r="D93" i="7"/>
  <c r="C93" i="7"/>
  <c r="U11" i="58"/>
  <c r="U60" i="58"/>
  <c r="K11" i="58"/>
  <c r="K60" i="58" s="1"/>
  <c r="I11" i="58"/>
  <c r="I60" i="58"/>
  <c r="E11" i="58"/>
  <c r="E60" i="58" s="1"/>
  <c r="C11" i="58"/>
  <c r="C60" i="58" s="1"/>
  <c r="U10" i="51"/>
  <c r="S10" i="51"/>
  <c r="S15" i="26"/>
  <c r="S86" i="28" s="1"/>
  <c r="S84" i="28" s="1"/>
  <c r="S87" i="28" s="1"/>
  <c r="Q10" i="51"/>
  <c r="Q15" i="26" s="1"/>
  <c r="Q12" i="26" s="1"/>
  <c r="Q19" i="26" s="1"/>
  <c r="Q137" i="45" s="1"/>
  <c r="O10" i="51"/>
  <c r="T8" i="47"/>
  <c r="T31" i="47"/>
  <c r="R8" i="47"/>
  <c r="R31" i="47"/>
  <c r="P31" i="47"/>
  <c r="N8" i="47"/>
  <c r="N31" i="47"/>
  <c r="L8" i="47"/>
  <c r="L31" i="47"/>
  <c r="F8" i="47"/>
  <c r="D8" i="47"/>
  <c r="D31" i="47"/>
  <c r="D32" i="47" s="1"/>
  <c r="D93" i="67" s="1"/>
  <c r="B8" i="47"/>
  <c r="B31" i="47"/>
  <c r="T19" i="47"/>
  <c r="T29" i="47"/>
  <c r="R19" i="47"/>
  <c r="R29" i="47"/>
  <c r="P19" i="47"/>
  <c r="P29" i="47"/>
  <c r="P32" i="47" s="1"/>
  <c r="N19" i="47"/>
  <c r="N29" i="47"/>
  <c r="L19" i="47"/>
  <c r="L29" i="47"/>
  <c r="H19" i="47"/>
  <c r="H29" i="47"/>
  <c r="F19" i="47"/>
  <c r="F29" i="47"/>
  <c r="D19" i="47"/>
  <c r="D29" i="47"/>
  <c r="B19" i="47"/>
  <c r="B29" i="47"/>
  <c r="T15" i="67"/>
  <c r="T237" i="67" s="1"/>
  <c r="T154" i="67"/>
  <c r="R154" i="67"/>
  <c r="P15" i="67"/>
  <c r="P237" i="67" s="1"/>
  <c r="N15" i="67"/>
  <c r="N237" i="67" s="1"/>
  <c r="N154" i="67"/>
  <c r="L15" i="67"/>
  <c r="L237" i="67" s="1"/>
  <c r="H15" i="67"/>
  <c r="H237" i="67" s="1"/>
  <c r="F15" i="67"/>
  <c r="F237" i="67"/>
  <c r="D15" i="67"/>
  <c r="D237" i="67" s="1"/>
  <c r="B15" i="67"/>
  <c r="B237" i="67"/>
  <c r="B154" i="67"/>
  <c r="U7" i="67"/>
  <c r="U5" i="67"/>
  <c r="U173" i="67"/>
  <c r="U174" i="67"/>
  <c r="S5" i="67"/>
  <c r="S173" i="67"/>
  <c r="S174" i="67" s="1"/>
  <c r="Q5" i="67"/>
  <c r="Q173" i="67"/>
  <c r="Q174" i="67"/>
  <c r="O5" i="67"/>
  <c r="O173" i="67"/>
  <c r="O174" i="67" s="1"/>
  <c r="O175" i="67" s="1"/>
  <c r="O176" i="67" s="1"/>
  <c r="M5" i="67"/>
  <c r="K173" i="67"/>
  <c r="K174" i="67" s="1"/>
  <c r="K175" i="67" s="1"/>
  <c r="K176" i="67" s="1"/>
  <c r="U3" i="47"/>
  <c r="U4" i="67"/>
  <c r="U78" i="67" s="1"/>
  <c r="S3" i="47"/>
  <c r="R11" i="59"/>
  <c r="R59" i="59" s="1"/>
  <c r="Q3" i="47"/>
  <c r="Q4" i="67"/>
  <c r="Q226" i="67" s="1"/>
  <c r="Q9" i="26"/>
  <c r="P11" i="59"/>
  <c r="P59" i="59" s="1"/>
  <c r="O9" i="26"/>
  <c r="N11" i="59"/>
  <c r="N59" i="59" s="1"/>
  <c r="M3" i="47"/>
  <c r="M4" i="67"/>
  <c r="M78" i="67" s="1"/>
  <c r="M91" i="67" s="1"/>
  <c r="M98" i="67" s="1"/>
  <c r="M112" i="67" s="1"/>
  <c r="M130" i="67" s="1"/>
  <c r="M140" i="67" s="1"/>
  <c r="M159" i="67" s="1"/>
  <c r="M180" i="67" s="1"/>
  <c r="M202" i="67" s="1"/>
  <c r="M213" i="67" s="1"/>
  <c r="M9" i="26"/>
  <c r="I3" i="47"/>
  <c r="I4" i="67"/>
  <c r="F11" i="59"/>
  <c r="F59" i="59"/>
  <c r="E3" i="47"/>
  <c r="E4" i="67"/>
  <c r="E9" i="26"/>
  <c r="D11" i="59"/>
  <c r="D59" i="59" s="1"/>
  <c r="U38" i="47"/>
  <c r="U43" i="47"/>
  <c r="U164" i="67"/>
  <c r="S38" i="47"/>
  <c r="S43" i="47"/>
  <c r="S164" i="67"/>
  <c r="S187" i="67" s="1"/>
  <c r="Q38" i="47"/>
  <c r="Q43" i="47"/>
  <c r="Q164" i="67"/>
  <c r="Q187" i="67" s="1"/>
  <c r="O38" i="47"/>
  <c r="O43" i="47"/>
  <c r="O164" i="67"/>
  <c r="O187" i="67" s="1"/>
  <c r="M38" i="47"/>
  <c r="M164" i="67"/>
  <c r="I38" i="47"/>
  <c r="I43" i="47" s="1"/>
  <c r="I80" i="45" s="1"/>
  <c r="I164" i="67"/>
  <c r="E38" i="47"/>
  <c r="E164" i="67"/>
  <c r="C38" i="47"/>
  <c r="C43" i="47"/>
  <c r="C94" i="67" s="1"/>
  <c r="C164" i="67"/>
  <c r="C187" i="67" s="1"/>
  <c r="S25" i="60"/>
  <c r="V11" i="58"/>
  <c r="V60" i="58" s="1"/>
  <c r="R11" i="58"/>
  <c r="R60" i="58" s="1"/>
  <c r="N11" i="58"/>
  <c r="N60" i="58" s="1"/>
  <c r="J11" i="58"/>
  <c r="J60" i="58" s="1"/>
  <c r="F11" i="58"/>
  <c r="F60" i="58" s="1"/>
  <c r="D11" i="58"/>
  <c r="D60" i="58" s="1"/>
  <c r="D9" i="58"/>
  <c r="D58" i="58" s="1"/>
  <c r="T10" i="51"/>
  <c r="R10" i="51"/>
  <c r="P10" i="51"/>
  <c r="P16" i="51"/>
  <c r="U337" i="67"/>
  <c r="U407" i="67"/>
  <c r="U430" i="67"/>
  <c r="S337" i="67"/>
  <c r="S407" i="67"/>
  <c r="S430" i="67"/>
  <c r="Q337" i="67"/>
  <c r="Q407" i="67"/>
  <c r="Q430" i="67"/>
  <c r="O337" i="67"/>
  <c r="O407" i="67"/>
  <c r="O430" i="67"/>
  <c r="M337" i="67"/>
  <c r="M407" i="67"/>
  <c r="M430" i="67"/>
  <c r="K337" i="67"/>
  <c r="K407" i="67"/>
  <c r="K430" i="67"/>
  <c r="I337" i="67"/>
  <c r="I407" i="67"/>
  <c r="I430" i="67"/>
  <c r="G337" i="67"/>
  <c r="G407" i="67"/>
  <c r="G430" i="67"/>
  <c r="E337" i="67"/>
  <c r="E407" i="67"/>
  <c r="E430" i="67"/>
  <c r="C337" i="67"/>
  <c r="C407" i="67"/>
  <c r="C430" i="67"/>
  <c r="T430" i="67"/>
  <c r="R337" i="67"/>
  <c r="R407" i="67"/>
  <c r="R430" i="67"/>
  <c r="P337" i="67"/>
  <c r="P407" i="67"/>
  <c r="N337" i="67"/>
  <c r="N407" i="67"/>
  <c r="N430" i="67"/>
  <c r="L430" i="67"/>
  <c r="J337" i="67"/>
  <c r="J407" i="67"/>
  <c r="J430" i="67"/>
  <c r="H337" i="67"/>
  <c r="H407" i="67"/>
  <c r="F337" i="67"/>
  <c r="F407" i="67"/>
  <c r="F430" i="67"/>
  <c r="D430" i="67"/>
  <c r="B337" i="67"/>
  <c r="B407" i="67"/>
  <c r="B430" i="67"/>
  <c r="M226" i="67"/>
  <c r="M300" i="67" s="1"/>
  <c r="M313" i="67" s="1"/>
  <c r="M320" i="67" s="1"/>
  <c r="M334" i="67" s="1"/>
  <c r="M352" i="67" s="1"/>
  <c r="M362" i="67" s="1"/>
  <c r="M381" i="67" s="1"/>
  <c r="M402" i="67" s="1"/>
  <c r="M424" i="67" s="1"/>
  <c r="M435" i="67" s="1"/>
  <c r="Q300" i="67"/>
  <c r="Q313" i="67" s="1"/>
  <c r="Q320" i="67" s="1"/>
  <c r="Q334" i="67" s="1"/>
  <c r="Q352" i="67" s="1"/>
  <c r="Q362" i="67" s="1"/>
  <c r="Q381" i="67" s="1"/>
  <c r="Q402" i="67" s="1"/>
  <c r="Q424" i="67" s="1"/>
  <c r="Q435" i="67" s="1"/>
  <c r="U91" i="67"/>
  <c r="U98" i="67" s="1"/>
  <c r="U112" i="67" s="1"/>
  <c r="U130" i="67" s="1"/>
  <c r="U140" i="67"/>
  <c r="U159" i="67" s="1"/>
  <c r="U180" i="67" s="1"/>
  <c r="U202" i="67" s="1"/>
  <c r="U213" i="67" s="1"/>
  <c r="U113" i="67"/>
  <c r="O3" i="51"/>
  <c r="O3" i="26" s="1"/>
  <c r="O15" i="26"/>
  <c r="S3" i="51"/>
  <c r="S3" i="26" s="1"/>
  <c r="N80" i="45"/>
  <c r="R80" i="45"/>
  <c r="H35" i="26"/>
  <c r="P175" i="67"/>
  <c r="C32" i="47"/>
  <c r="S32" i="47"/>
  <c r="P15" i="26"/>
  <c r="P3" i="51"/>
  <c r="P3" i="26" s="1"/>
  <c r="T15" i="26"/>
  <c r="T3" i="51"/>
  <c r="T3" i="26" s="1"/>
  <c r="U15" i="26"/>
  <c r="U13" i="26" s="1"/>
  <c r="N86" i="28"/>
  <c r="N84" i="28"/>
  <c r="N87" i="28" s="1"/>
  <c r="D187" i="67"/>
  <c r="N187" i="67"/>
  <c r="P187" i="67"/>
  <c r="H78" i="67"/>
  <c r="H91" i="67" s="1"/>
  <c r="H98" i="67" s="1"/>
  <c r="H112" i="67" s="1"/>
  <c r="H130" i="67" s="1"/>
  <c r="H140" i="67" s="1"/>
  <c r="H159" i="67" s="1"/>
  <c r="H180" i="67" s="1"/>
  <c r="H202" i="67" s="1"/>
  <c r="H213" i="67" s="1"/>
  <c r="H300" i="67"/>
  <c r="H313" i="67" s="1"/>
  <c r="H320" i="67" s="1"/>
  <c r="H334" i="67" s="1"/>
  <c r="H352" i="67" s="1"/>
  <c r="H362" i="67" s="1"/>
  <c r="H381" i="67" s="1"/>
  <c r="H402" i="67" s="1"/>
  <c r="H424" i="67" s="1"/>
  <c r="H435" i="67" s="1"/>
  <c r="N78" i="67"/>
  <c r="N91" i="67" s="1"/>
  <c r="N98" i="67" s="1"/>
  <c r="N112" i="67" s="1"/>
  <c r="N130" i="67" s="1"/>
  <c r="N140" i="67" s="1"/>
  <c r="N159" i="67" s="1"/>
  <c r="N180" i="67" s="1"/>
  <c r="N202" i="67" s="1"/>
  <c r="N213" i="67" s="1"/>
  <c r="T226" i="67"/>
  <c r="T300" i="67" s="1"/>
  <c r="T313" i="67" s="1"/>
  <c r="T320" i="67"/>
  <c r="T334" i="67" s="1"/>
  <c r="T352" i="67" s="1"/>
  <c r="T362" i="67" s="1"/>
  <c r="T381" i="67" s="1"/>
  <c r="T402" i="67" s="1"/>
  <c r="T424" i="67" s="1"/>
  <c r="T435" i="67" s="1"/>
  <c r="R32" i="47"/>
  <c r="T32" i="47"/>
  <c r="D79" i="45"/>
  <c r="P12" i="26"/>
  <c r="P13" i="26"/>
  <c r="P16" i="26" s="1"/>
  <c r="P86" i="28"/>
  <c r="P84" i="28"/>
  <c r="P87" i="28" s="1"/>
  <c r="S13" i="26"/>
  <c r="S12" i="26"/>
  <c r="U86" i="28"/>
  <c r="U84" i="28" s="1"/>
  <c r="U87" i="28" s="1"/>
  <c r="S93" i="67"/>
  <c r="S79" i="45"/>
  <c r="O13" i="26"/>
  <c r="O16" i="26" s="1"/>
  <c r="O12" i="26"/>
  <c r="O86" i="28"/>
  <c r="O84" i="28"/>
  <c r="O87" i="28" s="1"/>
  <c r="F15" i="55"/>
  <c r="C15" i="55"/>
  <c r="C21" i="55"/>
  <c r="E47" i="58"/>
  <c r="D47" i="58"/>
  <c r="B21" i="46"/>
  <c r="B26" i="46" s="1"/>
  <c r="H54" i="60"/>
  <c r="Q175" i="67"/>
  <c r="U175" i="67"/>
  <c r="U176" i="67" s="1"/>
  <c r="T63" i="28"/>
  <c r="H34" i="54"/>
  <c r="I34" i="54" s="1"/>
  <c r="H32" i="54"/>
  <c r="I32" i="54"/>
  <c r="F28" i="54"/>
  <c r="H28" i="54"/>
  <c r="I28" i="54" s="1"/>
  <c r="F26" i="54"/>
  <c r="H26" i="54"/>
  <c r="I26" i="54" s="1"/>
  <c r="F25" i="54"/>
  <c r="H25" i="54" s="1"/>
  <c r="I25" i="54"/>
  <c r="F24" i="54"/>
  <c r="H24" i="54" s="1"/>
  <c r="I24" i="54" s="1"/>
  <c r="F23" i="54"/>
  <c r="H23" i="54"/>
  <c r="I23" i="54"/>
  <c r="F22" i="54"/>
  <c r="H22" i="54"/>
  <c r="I22" i="54"/>
  <c r="F21" i="54"/>
  <c r="H21" i="54" s="1"/>
  <c r="I21" i="54" s="1"/>
  <c r="F20" i="54"/>
  <c r="H20" i="54"/>
  <c r="I20" i="54" s="1"/>
  <c r="F19" i="54"/>
  <c r="H19" i="54" s="1"/>
  <c r="I19" i="54" s="1"/>
  <c r="S63" i="28"/>
  <c r="P63" i="28"/>
  <c r="S53" i="28"/>
  <c r="S55" i="28" s="1"/>
  <c r="S65" i="28" s="1"/>
  <c r="M55" i="28"/>
  <c r="K55" i="28"/>
  <c r="K65" i="28"/>
  <c r="G55" i="28"/>
  <c r="R186" i="45"/>
  <c r="P186" i="45"/>
  <c r="N186" i="45"/>
  <c r="F24" i="55"/>
  <c r="G32" i="55"/>
  <c r="G33" i="55"/>
  <c r="G36" i="55" s="1"/>
  <c r="F21" i="55"/>
  <c r="C30" i="55"/>
  <c r="M17" i="31"/>
  <c r="N17" i="31" s="1"/>
  <c r="N16" i="31"/>
  <c r="M14" i="31"/>
  <c r="N14" i="31" s="1"/>
  <c r="M10" i="31"/>
  <c r="N10" i="31"/>
  <c r="C47" i="58"/>
  <c r="C80" i="58" s="1"/>
  <c r="F299" i="51"/>
  <c r="G16" i="51"/>
  <c r="G19" i="51"/>
  <c r="B299" i="51"/>
  <c r="P81" i="7"/>
  <c r="N58" i="28"/>
  <c r="L81" i="7"/>
  <c r="J58" i="28"/>
  <c r="H81" i="7"/>
  <c r="F58" i="28"/>
  <c r="O77" i="7"/>
  <c r="M77" i="7"/>
  <c r="M88" i="7" s="1"/>
  <c r="K77" i="7"/>
  <c r="I77" i="7"/>
  <c r="G77" i="7"/>
  <c r="E77" i="7"/>
  <c r="C70" i="7"/>
  <c r="I70" i="7" s="1"/>
  <c r="G48" i="28" s="1"/>
  <c r="E81" i="7"/>
  <c r="C58" i="28"/>
  <c r="G81" i="7"/>
  <c r="E58" i="28"/>
  <c r="I81" i="7"/>
  <c r="G58" i="28"/>
  <c r="K81" i="7"/>
  <c r="I58" i="28"/>
  <c r="M81" i="7"/>
  <c r="K58" i="28"/>
  <c r="O81" i="7"/>
  <c r="M58" i="28"/>
  <c r="M18" i="31"/>
  <c r="N18" i="31"/>
  <c r="C87" i="59"/>
  <c r="D13" i="63"/>
  <c r="D15" i="63"/>
  <c r="C16" i="51"/>
  <c r="C19" i="51" s="1"/>
  <c r="D175" i="67"/>
  <c r="D176" i="67" s="1"/>
  <c r="L87" i="67"/>
  <c r="K87" i="67"/>
  <c r="J73" i="45"/>
  <c r="J87" i="67"/>
  <c r="H87" i="67"/>
  <c r="F73" i="45"/>
  <c r="J47" i="46"/>
  <c r="F11" i="47"/>
  <c r="E87" i="67"/>
  <c r="F21" i="46"/>
  <c r="F26" i="46" s="1"/>
  <c r="J164" i="67"/>
  <c r="F38" i="47"/>
  <c r="F164" i="67"/>
  <c r="F187" i="67" s="1"/>
  <c r="J31" i="47"/>
  <c r="J8" i="47"/>
  <c r="G89" i="60"/>
  <c r="K15" i="67"/>
  <c r="K237" i="67" s="1"/>
  <c r="G15" i="45"/>
  <c r="F23" i="60"/>
  <c r="F62" i="60" s="1"/>
  <c r="E173" i="67"/>
  <c r="E174" i="67" s="1"/>
  <c r="E197" i="45"/>
  <c r="E153" i="45"/>
  <c r="E175" i="45"/>
  <c r="C5" i="45"/>
  <c r="B176" i="45"/>
  <c r="B177" i="45" s="1"/>
  <c r="B178" i="45" s="1"/>
  <c r="Q147" i="67"/>
  <c r="Q148" i="45"/>
  <c r="M147" i="67"/>
  <c r="M148" i="45"/>
  <c r="E147" i="67"/>
  <c r="E148" i="45"/>
  <c r="U145" i="67"/>
  <c r="U146" i="45"/>
  <c r="M145" i="67"/>
  <c r="M146" i="45"/>
  <c r="I145" i="67"/>
  <c r="I146" i="45"/>
  <c r="E145" i="67"/>
  <c r="E146" i="45"/>
  <c r="U155" i="67"/>
  <c r="U156" i="45"/>
  <c r="Q155" i="67"/>
  <c r="Q156" i="45"/>
  <c r="M155" i="67"/>
  <c r="M156" i="45"/>
  <c r="E156" i="45"/>
  <c r="R79" i="45"/>
  <c r="R93" i="67"/>
  <c r="E70" i="7"/>
  <c r="C48" i="28"/>
  <c r="M70" i="7"/>
  <c r="K48" i="28" s="1"/>
  <c r="H70" i="7"/>
  <c r="F48" i="28"/>
  <c r="P70" i="7"/>
  <c r="N48" i="28" s="1"/>
  <c r="K70" i="7"/>
  <c r="I48" i="28"/>
  <c r="F70" i="7"/>
  <c r="D48" i="28" s="1"/>
  <c r="N70" i="7"/>
  <c r="L48" i="28"/>
  <c r="O94" i="67"/>
  <c r="O80" i="45"/>
  <c r="B300" i="67"/>
  <c r="B313" i="67" s="1"/>
  <c r="B320" i="67" s="1"/>
  <c r="B334" i="67" s="1"/>
  <c r="B352" i="67" s="1"/>
  <c r="B362" i="67" s="1"/>
  <c r="B381" i="67" s="1"/>
  <c r="B402" i="67" s="1"/>
  <c r="B424" i="67" s="1"/>
  <c r="B435" i="67" s="1"/>
  <c r="B78" i="67"/>
  <c r="B91" i="67" s="1"/>
  <c r="B98" i="67" s="1"/>
  <c r="B112" i="67" s="1"/>
  <c r="B130" i="67" s="1"/>
  <c r="B140" i="67" s="1"/>
  <c r="B159" i="67" s="1"/>
  <c r="B180" i="67" s="1"/>
  <c r="B202" i="67" s="1"/>
  <c r="B213" i="67" s="1"/>
  <c r="B32" i="47"/>
  <c r="N32" i="47"/>
  <c r="N93" i="67"/>
  <c r="Q13" i="26"/>
  <c r="Q16" i="26" s="1"/>
  <c r="Q86" i="28"/>
  <c r="Q84" i="28"/>
  <c r="Q87" i="28" s="1"/>
  <c r="E187" i="67"/>
  <c r="R187" i="67"/>
  <c r="T94" i="67"/>
  <c r="P53" i="28"/>
  <c r="L55" i="28"/>
  <c r="H55" i="28"/>
  <c r="P176" i="67"/>
  <c r="I24" i="55"/>
  <c r="I32" i="55" s="1"/>
  <c r="I33" i="55" s="1"/>
  <c r="I36" i="55"/>
  <c r="R3" i="51"/>
  <c r="R3" i="26" s="1"/>
  <c r="R15" i="26"/>
  <c r="U187" i="67"/>
  <c r="T26" i="46"/>
  <c r="S6" i="68"/>
  <c r="P94" i="67"/>
  <c r="P80" i="45"/>
  <c r="R175" i="67"/>
  <c r="R176" i="67"/>
  <c r="H33" i="54"/>
  <c r="I33" i="54" s="1"/>
  <c r="V25" i="60"/>
  <c r="V62" i="60"/>
  <c r="U11" i="28" s="1"/>
  <c r="V58" i="60"/>
  <c r="V61" i="60" s="1"/>
  <c r="V65" i="60" s="1"/>
  <c r="U196" i="45" s="1"/>
  <c r="U7" i="45"/>
  <c r="R62" i="60"/>
  <c r="Q11" i="28" s="1"/>
  <c r="Q71" i="28" s="1"/>
  <c r="Q7" i="45"/>
  <c r="T23" i="60"/>
  <c r="S5" i="45"/>
  <c r="S175" i="45"/>
  <c r="S176" i="45" s="1"/>
  <c r="S177" i="45" s="1"/>
  <c r="S153" i="45"/>
  <c r="P23" i="60"/>
  <c r="P25" i="60" s="1"/>
  <c r="O5" i="45"/>
  <c r="O175" i="45"/>
  <c r="O153" i="45"/>
  <c r="O197" i="45"/>
  <c r="L23" i="60"/>
  <c r="L62" i="60" s="1"/>
  <c r="K11" i="28" s="1"/>
  <c r="K71" i="28" s="1"/>
  <c r="K5" i="45"/>
  <c r="K175" i="45"/>
  <c r="K176" i="45" s="1"/>
  <c r="H23" i="60"/>
  <c r="H62" i="60" s="1"/>
  <c r="G11" i="28" s="1"/>
  <c r="G71" i="28" s="1"/>
  <c r="D5" i="45"/>
  <c r="E23" i="60"/>
  <c r="D175" i="45"/>
  <c r="D183" i="45" s="1"/>
  <c r="D153" i="45"/>
  <c r="D197" i="45"/>
  <c r="S57" i="60"/>
  <c r="R4" i="45"/>
  <c r="O57" i="60"/>
  <c r="N4" i="45"/>
  <c r="K57" i="60"/>
  <c r="J4" i="45"/>
  <c r="F4" i="45"/>
  <c r="C57" i="60"/>
  <c r="B4" i="45"/>
  <c r="J133" i="45"/>
  <c r="H299" i="51"/>
  <c r="H16" i="51" s="1"/>
  <c r="F10" i="51"/>
  <c r="F132" i="45"/>
  <c r="H19" i="31"/>
  <c r="C24" i="31"/>
  <c r="I6" i="31"/>
  <c r="G19" i="31"/>
  <c r="D51" i="54"/>
  <c r="F51" i="54" s="1"/>
  <c r="D43" i="54"/>
  <c r="H31" i="54"/>
  <c r="I31" i="54"/>
  <c r="K185" i="45"/>
  <c r="K186" i="45" s="1"/>
  <c r="N176" i="45"/>
  <c r="N177" i="45" s="1"/>
  <c r="N197" i="45"/>
  <c r="D49" i="54"/>
  <c r="F49" i="54"/>
  <c r="C37" i="54"/>
  <c r="S185" i="45"/>
  <c r="S186" i="45"/>
  <c r="B197" i="45"/>
  <c r="P126" i="67"/>
  <c r="H126" i="67"/>
  <c r="T116" i="67"/>
  <c r="L116" i="67"/>
  <c r="L102" i="45"/>
  <c r="D116" i="67"/>
  <c r="D102" i="45"/>
  <c r="P114" i="67"/>
  <c r="P100" i="45"/>
  <c r="H114" i="67"/>
  <c r="H388" i="67"/>
  <c r="H341" i="67"/>
  <c r="H409" i="67"/>
  <c r="H406" i="67"/>
  <c r="S58" i="60"/>
  <c r="R13" i="28" s="1"/>
  <c r="S62" i="60"/>
  <c r="R7" i="45"/>
  <c r="R85" i="45" s="1"/>
  <c r="R117" i="45" s="1"/>
  <c r="O58" i="60"/>
  <c r="N13" i="28" s="1"/>
  <c r="O62" i="60"/>
  <c r="N7" i="45"/>
  <c r="N10" i="26" s="1"/>
  <c r="N127" i="45" s="1"/>
  <c r="D62" i="60"/>
  <c r="C11" i="28" s="1"/>
  <c r="C71" i="28" s="1"/>
  <c r="C7" i="45"/>
  <c r="C85" i="45" s="1"/>
  <c r="C27" i="55"/>
  <c r="B32" i="55"/>
  <c r="H15" i="55"/>
  <c r="H21" i="55"/>
  <c r="L10" i="51"/>
  <c r="T7" i="45"/>
  <c r="U58" i="60"/>
  <c r="U61" i="60" s="1"/>
  <c r="M10" i="51"/>
  <c r="M15" i="26" s="1"/>
  <c r="M86" i="28" s="1"/>
  <c r="M84" i="28" s="1"/>
  <c r="M87" i="28" s="1"/>
  <c r="H10" i="51"/>
  <c r="X19" i="51"/>
  <c r="L20" i="51"/>
  <c r="S388" i="67"/>
  <c r="S341" i="67" s="1"/>
  <c r="S409" i="67"/>
  <c r="S406" i="67"/>
  <c r="T49" i="60"/>
  <c r="P49" i="60"/>
  <c r="L49" i="60"/>
  <c r="H49" i="60"/>
  <c r="D49" i="60"/>
  <c r="J10" i="51"/>
  <c r="I10" i="51"/>
  <c r="D10" i="51"/>
  <c r="E10" i="60"/>
  <c r="C13" i="63"/>
  <c r="C7" i="63"/>
  <c r="C9" i="63"/>
  <c r="C15" i="63" s="1"/>
  <c r="C388" i="67"/>
  <c r="C341" i="67"/>
  <c r="C409" i="67"/>
  <c r="C406" i="67"/>
  <c r="Q62" i="62"/>
  <c r="P48" i="67" s="1"/>
  <c r="P270" i="67" s="1"/>
  <c r="H50" i="67"/>
  <c r="H272" i="67" s="1"/>
  <c r="C73" i="7"/>
  <c r="G84" i="7"/>
  <c r="E61" i="28"/>
  <c r="K84" i="7"/>
  <c r="I61" i="28" s="1"/>
  <c r="O84" i="7"/>
  <c r="M61" i="28"/>
  <c r="F84" i="7"/>
  <c r="D61" i="28" s="1"/>
  <c r="L84" i="7"/>
  <c r="J61" i="28"/>
  <c r="E23" i="31"/>
  <c r="P3" i="31"/>
  <c r="G384" i="67"/>
  <c r="G385" i="67"/>
  <c r="G387" i="67"/>
  <c r="G347" i="67"/>
  <c r="G389" i="67"/>
  <c r="G345" i="67"/>
  <c r="G343" i="67"/>
  <c r="G390" i="67"/>
  <c r="R5" i="45"/>
  <c r="N5" i="45"/>
  <c r="U4" i="45"/>
  <c r="U125" i="45" s="1"/>
  <c r="Q4" i="45"/>
  <c r="M4" i="45"/>
  <c r="E4" i="45"/>
  <c r="K62" i="62"/>
  <c r="J48" i="67" s="1"/>
  <c r="J270" i="67" s="1"/>
  <c r="N84" i="7"/>
  <c r="L61" i="28" s="1"/>
  <c r="H84" i="7"/>
  <c r="F61" i="28"/>
  <c r="J82" i="7"/>
  <c r="H59" i="28" s="1"/>
  <c r="F81" i="7"/>
  <c r="D58" i="28"/>
  <c r="N81" i="7"/>
  <c r="L58" i="28" s="1"/>
  <c r="E36" i="63"/>
  <c r="E40" i="63"/>
  <c r="E43" i="63" s="1"/>
  <c r="E45" i="63" s="1"/>
  <c r="E47" i="63" s="1"/>
  <c r="P388" i="67"/>
  <c r="P341" i="67" s="1"/>
  <c r="P406" i="67"/>
  <c r="K388" i="67"/>
  <c r="K341" i="67"/>
  <c r="K406" i="67"/>
  <c r="R343" i="67"/>
  <c r="R388" i="67"/>
  <c r="R341" i="67"/>
  <c r="R384" i="67"/>
  <c r="R385" i="67"/>
  <c r="R387" i="67"/>
  <c r="R347" i="67"/>
  <c r="R406" i="67"/>
  <c r="L343" i="67"/>
  <c r="L384" i="67"/>
  <c r="L385" i="67"/>
  <c r="L387" i="67" s="1"/>
  <c r="L347" i="67" s="1"/>
  <c r="U62" i="62"/>
  <c r="T48" i="67" s="1"/>
  <c r="T270" i="67" s="1"/>
  <c r="M62" i="62"/>
  <c r="L48" i="67" s="1"/>
  <c r="L270" i="67" s="1"/>
  <c r="D50" i="67"/>
  <c r="D272" i="67" s="1"/>
  <c r="E62" i="62"/>
  <c r="D48" i="67" s="1"/>
  <c r="D270" i="67" s="1"/>
  <c r="M84" i="7"/>
  <c r="K61" i="28" s="1"/>
  <c r="E84" i="7"/>
  <c r="C61" i="28"/>
  <c r="C72" i="7"/>
  <c r="G82" i="7"/>
  <c r="E59" i="28" s="1"/>
  <c r="K82" i="7"/>
  <c r="I59" i="28"/>
  <c r="O82" i="7"/>
  <c r="M59" i="28" s="1"/>
  <c r="F82" i="7"/>
  <c r="D59" i="28"/>
  <c r="L82" i="7"/>
  <c r="J59" i="28" s="1"/>
  <c r="L389" i="67"/>
  <c r="L345" i="67" s="1"/>
  <c r="D389" i="67"/>
  <c r="D345" i="67"/>
  <c r="D384" i="67"/>
  <c r="D385" i="67" s="1"/>
  <c r="D387" i="67" s="1"/>
  <c r="D347" i="67" s="1"/>
  <c r="O384" i="67"/>
  <c r="O385" i="67" s="1"/>
  <c r="O387" i="67" s="1"/>
  <c r="O347" i="67"/>
  <c r="O389" i="67"/>
  <c r="O345" i="67" s="1"/>
  <c r="O390" i="67"/>
  <c r="E343" i="67"/>
  <c r="E389" i="67"/>
  <c r="E345" i="67" s="1"/>
  <c r="B343" i="67"/>
  <c r="B388" i="67"/>
  <c r="B341" i="67"/>
  <c r="B384" i="67"/>
  <c r="B385" i="67"/>
  <c r="B387" i="67"/>
  <c r="B347" i="67"/>
  <c r="B406" i="67"/>
  <c r="R390" i="67"/>
  <c r="B390" i="67"/>
  <c r="C69" i="7"/>
  <c r="G69" i="7" s="1"/>
  <c r="E47" i="28" s="1"/>
  <c r="G80" i="7"/>
  <c r="K80" i="7"/>
  <c r="K86" i="7" s="1"/>
  <c r="K88" i="7" s="1"/>
  <c r="O80" i="7"/>
  <c r="D80" i="7"/>
  <c r="H80" i="7"/>
  <c r="I15" i="31"/>
  <c r="I11" i="31"/>
  <c r="I7" i="31"/>
  <c r="M343" i="67"/>
  <c r="M384" i="67"/>
  <c r="M385" i="67" s="1"/>
  <c r="M387" i="67" s="1"/>
  <c r="M347" i="67" s="1"/>
  <c r="J343" i="67"/>
  <c r="J388" i="67"/>
  <c r="J341" i="67" s="1"/>
  <c r="J406" i="67"/>
  <c r="U390" i="67"/>
  <c r="M390" i="67"/>
  <c r="E390" i="67"/>
  <c r="C12" i="56"/>
  <c r="C9" i="56"/>
  <c r="Q273" i="67"/>
  <c r="Q325" i="67" s="1"/>
  <c r="Q103" i="67"/>
  <c r="I273" i="67"/>
  <c r="I325" i="67" s="1"/>
  <c r="U103" i="67"/>
  <c r="M103" i="67"/>
  <c r="U409" i="67"/>
  <c r="Q409" i="67"/>
  <c r="M409" i="67"/>
  <c r="I409" i="67"/>
  <c r="E409" i="67"/>
  <c r="U406" i="67"/>
  <c r="M406" i="67"/>
  <c r="E406" i="67"/>
  <c r="Q389" i="67"/>
  <c r="Q345" i="67" s="1"/>
  <c r="F384" i="67"/>
  <c r="F385" i="67"/>
  <c r="F387" i="67"/>
  <c r="F347" i="67" s="1"/>
  <c r="F154" i="67"/>
  <c r="N87" i="67"/>
  <c r="U11" i="47"/>
  <c r="Q11" i="47"/>
  <c r="M11" i="47"/>
  <c r="I11" i="47"/>
  <c r="E11" i="47"/>
  <c r="T11" i="47"/>
  <c r="L11" i="47"/>
  <c r="D11" i="47"/>
  <c r="E183" i="45"/>
  <c r="E176" i="45"/>
  <c r="E177" i="45" s="1"/>
  <c r="F58" i="60"/>
  <c r="E7" i="67"/>
  <c r="E99" i="67" s="1"/>
  <c r="E131" i="67" s="1"/>
  <c r="E7" i="45"/>
  <c r="E99" i="45" s="1"/>
  <c r="D86" i="7"/>
  <c r="D88" i="7"/>
  <c r="B57" i="28"/>
  <c r="B63" i="28" s="1"/>
  <c r="K69" i="7"/>
  <c r="I47" i="28" s="1"/>
  <c r="O69" i="7"/>
  <c r="M47" i="28" s="1"/>
  <c r="F69" i="7"/>
  <c r="D47" i="28" s="1"/>
  <c r="J69" i="7"/>
  <c r="H47" i="28"/>
  <c r="D69" i="7"/>
  <c r="B47" i="28"/>
  <c r="E69" i="7"/>
  <c r="C47" i="28" s="1"/>
  <c r="I69" i="7"/>
  <c r="G47" i="28" s="1"/>
  <c r="L69" i="7"/>
  <c r="J47" i="28" s="1"/>
  <c r="P69" i="7"/>
  <c r="N47" i="28" s="1"/>
  <c r="M69" i="7"/>
  <c r="K47" i="28"/>
  <c r="D73" i="7"/>
  <c r="B51" i="28" s="1"/>
  <c r="H73" i="7"/>
  <c r="F51" i="28"/>
  <c r="L73" i="7"/>
  <c r="J51" i="28" s="1"/>
  <c r="P73" i="7"/>
  <c r="N51" i="28"/>
  <c r="G73" i="7"/>
  <c r="E51" i="28" s="1"/>
  <c r="K73" i="7"/>
  <c r="I51" i="28" s="1"/>
  <c r="O73" i="7"/>
  <c r="M51" i="28" s="1"/>
  <c r="E73" i="7"/>
  <c r="C51" i="28"/>
  <c r="F73" i="7"/>
  <c r="D51" i="28" s="1"/>
  <c r="I73" i="7"/>
  <c r="G51" i="28"/>
  <c r="J73" i="7"/>
  <c r="H51" i="28" s="1"/>
  <c r="M73" i="7"/>
  <c r="K51" i="28"/>
  <c r="N73" i="7"/>
  <c r="L51" i="28" s="1"/>
  <c r="D3" i="51"/>
  <c r="D3" i="26" s="1"/>
  <c r="D15" i="26"/>
  <c r="H15" i="26"/>
  <c r="H86" i="28" s="1"/>
  <c r="T10" i="26"/>
  <c r="T127" i="45" s="1"/>
  <c r="B33" i="55"/>
  <c r="C117" i="45"/>
  <c r="E62" i="60"/>
  <c r="D11" i="28" s="1"/>
  <c r="D71" i="28" s="1"/>
  <c r="D7" i="67"/>
  <c r="E25" i="60"/>
  <c r="E58" i="60"/>
  <c r="K183" i="45"/>
  <c r="Q10" i="26"/>
  <c r="Q127" i="45" s="1"/>
  <c r="Q85" i="45"/>
  <c r="Q117" i="45"/>
  <c r="Q99" i="45"/>
  <c r="R12" i="26"/>
  <c r="R129" i="45" s="1"/>
  <c r="R13" i="26"/>
  <c r="R134" i="45" s="1"/>
  <c r="R130" i="45" s="1"/>
  <c r="R86" i="28"/>
  <c r="R84" i="28"/>
  <c r="R87" i="28" s="1"/>
  <c r="C40" i="56"/>
  <c r="M11" i="31"/>
  <c r="N11" i="31"/>
  <c r="O86" i="7"/>
  <c r="M57" i="28"/>
  <c r="M63" i="28"/>
  <c r="M65" i="28"/>
  <c r="I15" i="26"/>
  <c r="M3" i="51"/>
  <c r="M3" i="26" s="1"/>
  <c r="L15" i="26"/>
  <c r="F15" i="26"/>
  <c r="N125" i="45"/>
  <c r="N182" i="45"/>
  <c r="O176" i="45"/>
  <c r="O183" i="45"/>
  <c r="S183" i="45"/>
  <c r="B79" i="45"/>
  <c r="B93" i="67"/>
  <c r="I57" i="28"/>
  <c r="I63" i="28" s="1"/>
  <c r="I65" i="28" s="1"/>
  <c r="H72" i="7"/>
  <c r="F50" i="28" s="1"/>
  <c r="N72" i="7"/>
  <c r="L50" i="28" s="1"/>
  <c r="E49" i="63"/>
  <c r="U182" i="45"/>
  <c r="E9" i="59"/>
  <c r="E9" i="58"/>
  <c r="E58" i="58" s="1"/>
  <c r="J15" i="26"/>
  <c r="L21" i="51"/>
  <c r="L22" i="51" s="1"/>
  <c r="L23" i="51"/>
  <c r="L24" i="51"/>
  <c r="X20" i="51"/>
  <c r="N178" i="45"/>
  <c r="F43" i="54"/>
  <c r="M6" i="31"/>
  <c r="N6" i="31" s="1"/>
  <c r="H86" i="7"/>
  <c r="H88" i="7" s="1"/>
  <c r="F57" i="28"/>
  <c r="F63" i="28"/>
  <c r="F65" i="28" s="1"/>
  <c r="G86" i="7"/>
  <c r="E57" i="28"/>
  <c r="E63" i="28"/>
  <c r="E65" i="28"/>
  <c r="G9" i="62"/>
  <c r="G10" i="60"/>
  <c r="G9" i="58"/>
  <c r="G58" i="58" s="1"/>
  <c r="F10" i="60"/>
  <c r="F9" i="59" s="1"/>
  <c r="T13" i="28"/>
  <c r="B125" i="45"/>
  <c r="B182" i="45"/>
  <c r="J125" i="45"/>
  <c r="R64" i="45"/>
  <c r="R77" i="45" s="1"/>
  <c r="R84" i="45" s="1"/>
  <c r="R98" i="45" s="1"/>
  <c r="R116" i="45" s="1"/>
  <c r="R141" i="45" s="1"/>
  <c r="R159" i="45" s="1"/>
  <c r="R190" i="45" s="1"/>
  <c r="R220" i="45" s="1"/>
  <c r="R230" i="45" s="1"/>
  <c r="D176" i="45"/>
  <c r="T25" i="60"/>
  <c r="T58" i="60"/>
  <c r="S7" i="45"/>
  <c r="T62" i="60"/>
  <c r="S11" i="28" s="1"/>
  <c r="S7" i="67"/>
  <c r="U25" i="60"/>
  <c r="U71" i="28"/>
  <c r="E113" i="67"/>
  <c r="E229" i="67"/>
  <c r="S113" i="67"/>
  <c r="D177" i="45"/>
  <c r="D178" i="45"/>
  <c r="B36" i="55"/>
  <c r="S178" i="45"/>
  <c r="H9" i="62"/>
  <c r="F12" i="26"/>
  <c r="F129" i="45" s="1"/>
  <c r="D13" i="28"/>
  <c r="O177" i="45"/>
  <c r="O178" i="45" s="1"/>
  <c r="D12" i="26"/>
  <c r="D13" i="26"/>
  <c r="D16" i="26" s="1"/>
  <c r="D86" i="28"/>
  <c r="D84" i="28"/>
  <c r="D87" i="28" s="1"/>
  <c r="X22" i="51"/>
  <c r="D30" i="28"/>
  <c r="D134" i="45"/>
  <c r="D130" i="45" s="1"/>
  <c r="D20" i="28"/>
  <c r="X23" i="51"/>
  <c r="N79" i="45"/>
  <c r="M73" i="45"/>
  <c r="L40" i="59"/>
  <c r="E185" i="45"/>
  <c r="E186" i="45" s="1"/>
  <c r="E155" i="67"/>
  <c r="K273" i="67"/>
  <c r="K325" i="67" s="1"/>
  <c r="M43" i="47"/>
  <c r="M80" i="45" s="1"/>
  <c r="E161" i="45"/>
  <c r="E6" i="68" s="1"/>
  <c r="F47" i="58"/>
  <c r="G38" i="47"/>
  <c r="G164" i="67"/>
  <c r="G187" i="67" s="1"/>
  <c r="L38" i="47"/>
  <c r="L43" i="47" s="1"/>
  <c r="L94" i="67" s="1"/>
  <c r="J38" i="47"/>
  <c r="K164" i="45"/>
  <c r="K197" i="45" s="1"/>
  <c r="G164" i="45"/>
  <c r="E43" i="47"/>
  <c r="E94" i="67" s="1"/>
  <c r="K89" i="60"/>
  <c r="I89" i="60"/>
  <c r="E154" i="67"/>
  <c r="E15" i="45"/>
  <c r="M23" i="60"/>
  <c r="M58" i="60" s="1"/>
  <c r="H5" i="45"/>
  <c r="H175" i="45"/>
  <c r="H183" i="45" s="1"/>
  <c r="I23" i="60"/>
  <c r="G23" i="60"/>
  <c r="G58" i="60" s="1"/>
  <c r="H173" i="67"/>
  <c r="H174" i="67" s="1"/>
  <c r="H153" i="45"/>
  <c r="E11" i="28"/>
  <c r="E71" i="28" s="1"/>
  <c r="S71" i="28"/>
  <c r="O16" i="31"/>
  <c r="P16" i="31"/>
  <c r="O18" i="31"/>
  <c r="P18" i="31" s="1"/>
  <c r="V19" i="51"/>
  <c r="G20" i="51"/>
  <c r="O10" i="31"/>
  <c r="P10" i="31"/>
  <c r="R10" i="31" s="1"/>
  <c r="O17" i="31"/>
  <c r="P17" i="31" s="1"/>
  <c r="S175" i="67"/>
  <c r="S176" i="67"/>
  <c r="B175" i="67"/>
  <c r="R26" i="46"/>
  <c r="J55" i="28"/>
  <c r="U80" i="45"/>
  <c r="U94" i="67"/>
  <c r="O93" i="67"/>
  <c r="O79" i="45"/>
  <c r="P26" i="46"/>
  <c r="Q53" i="28"/>
  <c r="Q55" i="28"/>
  <c r="L32" i="47"/>
  <c r="L93" i="67" s="1"/>
  <c r="F55" i="28"/>
  <c r="O134" i="45"/>
  <c r="O130" i="45" s="1"/>
  <c r="E32" i="47"/>
  <c r="E79" i="45" s="1"/>
  <c r="D45" i="54"/>
  <c r="H185" i="45"/>
  <c r="H186" i="45" s="1"/>
  <c r="U176" i="45"/>
  <c r="E32" i="55"/>
  <c r="S161" i="67"/>
  <c r="M49" i="60"/>
  <c r="S202" i="62"/>
  <c r="D47" i="54"/>
  <c r="F47" i="54"/>
  <c r="B186" i="45"/>
  <c r="R176" i="45"/>
  <c r="R178" i="45" s="1"/>
  <c r="R177" i="45"/>
  <c r="S47" i="58"/>
  <c r="C102" i="7"/>
  <c r="D81" i="7"/>
  <c r="B58" i="28"/>
  <c r="J81" i="7"/>
  <c r="H58" i="28"/>
  <c r="N82" i="7"/>
  <c r="L59" i="28"/>
  <c r="H82" i="7"/>
  <c r="F59" i="28"/>
  <c r="T406" i="67"/>
  <c r="K390" i="67"/>
  <c r="E388" i="67"/>
  <c r="E341" i="67"/>
  <c r="N390" i="67"/>
  <c r="M82" i="7"/>
  <c r="K59" i="28"/>
  <c r="O406" i="67"/>
  <c r="C390" i="67"/>
  <c r="N389" i="67"/>
  <c r="N345" i="67"/>
  <c r="U343" i="67"/>
  <c r="U384" i="67"/>
  <c r="U385" i="67"/>
  <c r="U387" i="67"/>
  <c r="U347" i="67"/>
  <c r="K384" i="67"/>
  <c r="K385" i="67"/>
  <c r="K387" i="67"/>
  <c r="K347" i="67"/>
  <c r="D309" i="67"/>
  <c r="N343" i="67"/>
  <c r="N384" i="67"/>
  <c r="N385" i="67"/>
  <c r="N387" i="67" s="1"/>
  <c r="N347" i="67" s="1"/>
  <c r="N406" i="67"/>
  <c r="C384" i="67"/>
  <c r="C385" i="67" s="1"/>
  <c r="C387" i="67" s="1"/>
  <c r="C347" i="67" s="1"/>
  <c r="P390" i="67"/>
  <c r="T309" i="67"/>
  <c r="I5" i="31"/>
  <c r="P343" i="67"/>
  <c r="P384" i="67"/>
  <c r="P385" i="67"/>
  <c r="P387" i="67" s="1"/>
  <c r="P347" i="67" s="1"/>
  <c r="S155" i="67"/>
  <c r="P40" i="59"/>
  <c r="O47" i="46" s="1"/>
  <c r="O50" i="46" s="1"/>
  <c r="N155" i="67"/>
  <c r="G103" i="67"/>
  <c r="C11" i="47"/>
  <c r="G40" i="59"/>
  <c r="L145" i="67"/>
  <c r="F155" i="67"/>
  <c r="H176" i="45"/>
  <c r="Q10" i="31"/>
  <c r="D20" i="47"/>
  <c r="M5" i="31"/>
  <c r="F45" i="54"/>
  <c r="L79" i="45"/>
  <c r="F32" i="55"/>
  <c r="E33" i="55"/>
  <c r="F33" i="55" s="1"/>
  <c r="E36" i="55"/>
  <c r="F36" i="55" s="1"/>
  <c r="E20" i="47"/>
  <c r="B20" i="47"/>
  <c r="C20" i="47"/>
  <c r="F20" i="47"/>
  <c r="C53" i="62"/>
  <c r="C66" i="62"/>
  <c r="N5" i="31"/>
  <c r="P5" i="31" s="1"/>
  <c r="Q5" i="31" s="1"/>
  <c r="Q16" i="31"/>
  <c r="R16" i="31"/>
  <c r="Q17" i="31"/>
  <c r="R17" i="31"/>
  <c r="H7" i="45"/>
  <c r="R16" i="26"/>
  <c r="G9" i="59"/>
  <c r="F86" i="28"/>
  <c r="F84" i="28"/>
  <c r="F87" i="28" s="1"/>
  <c r="F13" i="26"/>
  <c r="F16" i="26" s="1"/>
  <c r="M12" i="26"/>
  <c r="M13" i="26"/>
  <c r="M16" i="26" s="1"/>
  <c r="E175" i="67"/>
  <c r="E176" i="67" s="1"/>
  <c r="P59" i="46"/>
  <c r="O53" i="28"/>
  <c r="O55" i="28"/>
  <c r="O65" i="28"/>
  <c r="T177" i="45"/>
  <c r="T178" i="45" s="1"/>
  <c r="L174" i="45"/>
  <c r="L182" i="45"/>
  <c r="L125" i="45"/>
  <c r="L64" i="45"/>
  <c r="L77" i="45" s="1"/>
  <c r="L84" i="45" s="1"/>
  <c r="L98" i="45" s="1"/>
  <c r="L116" i="45" s="1"/>
  <c r="L141" i="45" s="1"/>
  <c r="L159" i="45" s="1"/>
  <c r="Q7" i="67"/>
  <c r="R58" i="60"/>
  <c r="D174" i="45"/>
  <c r="D125" i="45"/>
  <c r="T7" i="67"/>
  <c r="T229" i="67" s="1"/>
  <c r="U62" i="60"/>
  <c r="T11" i="28" s="1"/>
  <c r="B55" i="28"/>
  <c r="B65" i="28" s="1"/>
  <c r="P177" i="45"/>
  <c r="P178" i="45" s="1"/>
  <c r="N7" i="67"/>
  <c r="N229" i="67" s="1"/>
  <c r="L186" i="45"/>
  <c r="T183" i="45"/>
  <c r="Q176" i="45"/>
  <c r="I49" i="60"/>
  <c r="D77" i="58"/>
  <c r="C32" i="46" s="1"/>
  <c r="C10" i="51"/>
  <c r="C62" i="62"/>
  <c r="B48" i="67" s="1"/>
  <c r="B270" i="67" s="1"/>
  <c r="E80" i="7"/>
  <c r="L80" i="7"/>
  <c r="L86" i="7" s="1"/>
  <c r="I80" i="7"/>
  <c r="P80" i="7"/>
  <c r="P86" i="7" s="1"/>
  <c r="F80" i="7"/>
  <c r="J80" i="7"/>
  <c r="J86" i="7" s="1"/>
  <c r="N80" i="7"/>
  <c r="N86" i="7" s="1"/>
  <c r="N88" i="7" s="1"/>
  <c r="O186" i="45"/>
  <c r="P183" i="45"/>
  <c r="T15" i="45"/>
  <c r="L15" i="45"/>
  <c r="Q23" i="60"/>
  <c r="P11" i="28" s="1"/>
  <c r="P71" i="28" s="1"/>
  <c r="T161" i="67"/>
  <c r="V62" i="62"/>
  <c r="U48" i="67"/>
  <c r="U270" i="67" s="1"/>
  <c r="U50" i="67"/>
  <c r="U272" i="67" s="1"/>
  <c r="E50" i="67"/>
  <c r="E272" i="67" s="1"/>
  <c r="E48" i="67"/>
  <c r="E270" i="67"/>
  <c r="J77" i="7"/>
  <c r="J88" i="7" s="1"/>
  <c r="S50" i="67"/>
  <c r="S272" i="67"/>
  <c r="T202" i="62"/>
  <c r="D62" i="62"/>
  <c r="C48" i="67" s="1"/>
  <c r="C270" i="67" s="1"/>
  <c r="D202" i="62"/>
  <c r="C50" i="67"/>
  <c r="C272" i="67" s="1"/>
  <c r="L77" i="7"/>
  <c r="L88" i="7" s="1"/>
  <c r="D42" i="7"/>
  <c r="L19" i="31"/>
  <c r="C21" i="31" s="1"/>
  <c r="I9" i="31"/>
  <c r="L409" i="67"/>
  <c r="L388" i="67"/>
  <c r="L341" i="67" s="1"/>
  <c r="S343" i="67"/>
  <c r="S390" i="67"/>
  <c r="S389" i="67"/>
  <c r="S345" i="67" s="1"/>
  <c r="S384" i="67"/>
  <c r="S385" i="67"/>
  <c r="S387" i="67"/>
  <c r="S347" i="67" s="1"/>
  <c r="D343" i="67"/>
  <c r="D388" i="67"/>
  <c r="D341" i="67"/>
  <c r="D406" i="67"/>
  <c r="M309" i="67"/>
  <c r="N77" i="7"/>
  <c r="L406" i="67"/>
  <c r="G388" i="67"/>
  <c r="G341" i="67"/>
  <c r="G406" i="67"/>
  <c r="G409" i="67"/>
  <c r="P389" i="67"/>
  <c r="P345" i="67"/>
  <c r="I343" i="67"/>
  <c r="I384" i="67"/>
  <c r="I385" i="67" s="1"/>
  <c r="I387" i="67"/>
  <c r="I347" i="67" s="1"/>
  <c r="E309" i="67"/>
  <c r="M42" i="7"/>
  <c r="I8" i="31"/>
  <c r="V3" i="31"/>
  <c r="W3" i="31" s="1"/>
  <c r="H23" i="31"/>
  <c r="I390" i="67"/>
  <c r="B88" i="67"/>
  <c r="H384" i="67"/>
  <c r="H385" i="67" s="1"/>
  <c r="H387" i="67"/>
  <c r="H347" i="67"/>
  <c r="T343" i="67"/>
  <c r="U87" i="67"/>
  <c r="D62" i="59"/>
  <c r="N113" i="67"/>
  <c r="M134" i="45"/>
  <c r="M130" i="45" s="1"/>
  <c r="O5" i="31"/>
  <c r="N57" i="28"/>
  <c r="N63" i="28" s="1"/>
  <c r="N65" i="28" s="1"/>
  <c r="D78" i="58"/>
  <c r="C33" i="46"/>
  <c r="H57" i="28"/>
  <c r="H63" i="28" s="1"/>
  <c r="H65" i="28" s="1"/>
  <c r="J57" i="28"/>
  <c r="J63" i="28"/>
  <c r="Q113" i="67"/>
  <c r="Q229" i="67"/>
  <c r="Q99" i="67"/>
  <c r="Q131" i="67" s="1"/>
  <c r="L57" i="28"/>
  <c r="L63" i="28" s="1"/>
  <c r="L65" i="28" s="1"/>
  <c r="M93" i="67"/>
  <c r="M79" i="45"/>
  <c r="Q62" i="60"/>
  <c r="R25" i="60"/>
  <c r="Q25" i="60"/>
  <c r="F86" i="7"/>
  <c r="F88" i="7" s="1"/>
  <c r="D57" i="28"/>
  <c r="D63" i="28"/>
  <c r="D65" i="28" s="1"/>
  <c r="E86" i="7"/>
  <c r="E88" i="7"/>
  <c r="C57" i="28"/>
  <c r="C63" i="28" s="1"/>
  <c r="C65" i="28" s="1"/>
  <c r="C15" i="26"/>
  <c r="C3" i="51"/>
  <c r="C3" i="26" s="1"/>
  <c r="C13" i="26"/>
  <c r="C30" i="28" s="1"/>
  <c r="C86" i="28"/>
  <c r="C84" i="28"/>
  <c r="C87" i="28" s="1"/>
  <c r="C12" i="26"/>
  <c r="C16" i="26"/>
  <c r="R5" i="31"/>
  <c r="S5" i="31"/>
  <c r="H155" i="45" l="1"/>
  <c r="J154" i="67"/>
  <c r="I15" i="67"/>
  <c r="I237" i="67" s="1"/>
  <c r="L148" i="45"/>
  <c r="M40" i="59"/>
  <c r="L47" i="46" s="1"/>
  <c r="L59" i="46"/>
  <c r="H59" i="46"/>
  <c r="K59" i="46"/>
  <c r="M87" i="67"/>
  <c r="G87" i="67"/>
  <c r="E93" i="67"/>
  <c r="K11" i="47"/>
  <c r="K43" i="47"/>
  <c r="K80" i="45" s="1"/>
  <c r="G43" i="47"/>
  <c r="G94" i="67" s="1"/>
  <c r="F161" i="67"/>
  <c r="E21" i="46"/>
  <c r="E26" i="46" s="1"/>
  <c r="K94" i="67"/>
  <c r="J43" i="47"/>
  <c r="J94" i="67" s="1"/>
  <c r="K164" i="67"/>
  <c r="K187" i="67" s="1"/>
  <c r="M94" i="67"/>
  <c r="J15" i="67"/>
  <c r="J237" i="67" s="1"/>
  <c r="J155" i="45"/>
  <c r="J15" i="45"/>
  <c r="I147" i="67"/>
  <c r="H31" i="47"/>
  <c r="H32" i="47" s="1"/>
  <c r="F32" i="47"/>
  <c r="F79" i="45" s="1"/>
  <c r="I154" i="67"/>
  <c r="J49" i="60"/>
  <c r="I155" i="45"/>
  <c r="G154" i="67"/>
  <c r="L80" i="45"/>
  <c r="I94" i="67"/>
  <c r="F43" i="47"/>
  <c r="Q134" i="45"/>
  <c r="Q130" i="45" s="1"/>
  <c r="V133" i="45"/>
  <c r="R30" i="28"/>
  <c r="R31" i="28" s="1"/>
  <c r="G86" i="28"/>
  <c r="P134" i="45"/>
  <c r="P130" i="45" s="1"/>
  <c r="O30" i="28"/>
  <c r="O31" i="28" s="1"/>
  <c r="P30" i="28"/>
  <c r="P20" i="28" s="1"/>
  <c r="Q30" i="28"/>
  <c r="F30" i="28"/>
  <c r="C134" i="45"/>
  <c r="C130" i="45" s="1"/>
  <c r="F134" i="45"/>
  <c r="F130" i="45" s="1"/>
  <c r="D31" i="28"/>
  <c r="C14" i="26"/>
  <c r="M30" i="28"/>
  <c r="N99" i="67"/>
  <c r="N131" i="67" s="1"/>
  <c r="J173" i="67"/>
  <c r="J174" i="67" s="1"/>
  <c r="K23" i="60"/>
  <c r="K62" i="60" s="1"/>
  <c r="J11" i="28" s="1"/>
  <c r="J5" i="67"/>
  <c r="J175" i="45"/>
  <c r="J187" i="67"/>
  <c r="J197" i="45"/>
  <c r="J153" i="45"/>
  <c r="G197" i="45"/>
  <c r="G153" i="45"/>
  <c r="G7" i="45"/>
  <c r="G85" i="45" s="1"/>
  <c r="G117" i="45" s="1"/>
  <c r="G5" i="45"/>
  <c r="G173" i="67"/>
  <c r="G174" i="67" s="1"/>
  <c r="G175" i="67" s="1"/>
  <c r="G175" i="45"/>
  <c r="F93" i="67"/>
  <c r="D43" i="47"/>
  <c r="P62" i="60"/>
  <c r="O11" i="28" s="1"/>
  <c r="O7" i="45"/>
  <c r="O85" i="45" s="1"/>
  <c r="O117" i="45" s="1"/>
  <c r="P58" i="60"/>
  <c r="O7" i="67"/>
  <c r="N175" i="67"/>
  <c r="N176" i="67" s="1"/>
  <c r="O61" i="60"/>
  <c r="N153" i="45"/>
  <c r="M153" i="45"/>
  <c r="M187" i="67"/>
  <c r="M173" i="67"/>
  <c r="M174" i="67" s="1"/>
  <c r="M175" i="67" s="1"/>
  <c r="M175" i="45"/>
  <c r="M176" i="67"/>
  <c r="L173" i="67"/>
  <c r="L174" i="67" s="1"/>
  <c r="L175" i="67" s="1"/>
  <c r="L176" i="67" s="1"/>
  <c r="L5" i="67"/>
  <c r="L7" i="67"/>
  <c r="L175" i="45"/>
  <c r="L176" i="45" s="1"/>
  <c r="L153" i="45"/>
  <c r="L197" i="45"/>
  <c r="L187" i="67"/>
  <c r="M62" i="60"/>
  <c r="L11" i="28" s="1"/>
  <c r="L71" i="28" s="1"/>
  <c r="L7" i="45"/>
  <c r="L99" i="45" s="1"/>
  <c r="M25" i="60"/>
  <c r="K221" i="67"/>
  <c r="K115" i="67" s="1"/>
  <c r="K7" i="45"/>
  <c r="K85" i="45" s="1"/>
  <c r="K117" i="45" s="1"/>
  <c r="K177" i="45"/>
  <c r="K178" i="45" s="1"/>
  <c r="K10" i="26"/>
  <c r="K127" i="45" s="1"/>
  <c r="K99" i="45"/>
  <c r="K58" i="60"/>
  <c r="J13" i="28" s="1"/>
  <c r="J238" i="45"/>
  <c r="J7" i="67"/>
  <c r="L25" i="60"/>
  <c r="K61" i="60"/>
  <c r="J146" i="67" s="1"/>
  <c r="J7" i="45"/>
  <c r="J99" i="45" s="1"/>
  <c r="J221" i="67"/>
  <c r="I197" i="45"/>
  <c r="I5" i="45"/>
  <c r="I187" i="67"/>
  <c r="J23" i="60"/>
  <c r="J25" i="60" s="1"/>
  <c r="I173" i="67"/>
  <c r="I174" i="67" s="1"/>
  <c r="I175" i="45"/>
  <c r="I5" i="67"/>
  <c r="H175" i="67"/>
  <c r="H176" i="67" s="1"/>
  <c r="H58" i="60"/>
  <c r="H61" i="60" s="1"/>
  <c r="G147" i="45" s="1"/>
  <c r="G7" i="67"/>
  <c r="G99" i="67" s="1"/>
  <c r="G131" i="67" s="1"/>
  <c r="G176" i="67"/>
  <c r="G13" i="28"/>
  <c r="F173" i="67"/>
  <c r="F174" i="67" s="1"/>
  <c r="F197" i="45"/>
  <c r="F7" i="67"/>
  <c r="F229" i="67" s="1"/>
  <c r="F403" i="67" s="1"/>
  <c r="F339" i="67" s="1"/>
  <c r="G62" i="60"/>
  <c r="F11" i="28" s="1"/>
  <c r="F71" i="28" s="1"/>
  <c r="H25" i="60"/>
  <c r="F153" i="45"/>
  <c r="F5" i="67"/>
  <c r="G25" i="60"/>
  <c r="F175" i="45"/>
  <c r="E73" i="45"/>
  <c r="D73" i="45"/>
  <c r="D161" i="45"/>
  <c r="D6" i="68" s="1"/>
  <c r="E80" i="45"/>
  <c r="C185" i="45"/>
  <c r="C186" i="45" s="1"/>
  <c r="D80" i="58"/>
  <c r="C21" i="46"/>
  <c r="C80" i="45"/>
  <c r="B161" i="45"/>
  <c r="B6" i="68" s="1"/>
  <c r="C10" i="26"/>
  <c r="C127" i="45" s="1"/>
  <c r="C99" i="45"/>
  <c r="C7" i="67"/>
  <c r="C229" i="67" s="1"/>
  <c r="B146" i="67"/>
  <c r="C65" i="60"/>
  <c r="C23" i="60"/>
  <c r="B94" i="67"/>
  <c r="B80" i="45"/>
  <c r="V132" i="45"/>
  <c r="V134" i="45" s="1"/>
  <c r="D13" i="56"/>
  <c r="D21" i="56" s="1"/>
  <c r="D29" i="56" s="1"/>
  <c r="D37" i="56" s="1"/>
  <c r="D45" i="56" s="1"/>
  <c r="D47" i="56" s="1"/>
  <c r="B40" i="56"/>
  <c r="D40" i="56" s="1"/>
  <c r="F51" i="59"/>
  <c r="E238" i="45"/>
  <c r="E226" i="45" s="1"/>
  <c r="E47" i="46"/>
  <c r="E50" i="46" s="1"/>
  <c r="F12" i="47"/>
  <c r="E221" i="67"/>
  <c r="U3" i="51"/>
  <c r="J299" i="51"/>
  <c r="J16" i="51" s="1"/>
  <c r="U19" i="51"/>
  <c r="E20" i="51"/>
  <c r="M8" i="31"/>
  <c r="N8" i="31" s="1"/>
  <c r="S16" i="31"/>
  <c r="T16" i="31" s="1"/>
  <c r="C17" i="26"/>
  <c r="C69" i="67" s="1"/>
  <c r="C197" i="67" s="1"/>
  <c r="C198" i="67" s="1"/>
  <c r="T5" i="31"/>
  <c r="S10" i="31"/>
  <c r="T10" i="31" s="1"/>
  <c r="Q18" i="31"/>
  <c r="R18" i="31"/>
  <c r="I79" i="45"/>
  <c r="I93" i="67"/>
  <c r="Q177" i="45"/>
  <c r="Q178" i="45"/>
  <c r="S17" i="31"/>
  <c r="T17" i="31" s="1"/>
  <c r="J65" i="28"/>
  <c r="G80" i="45"/>
  <c r="C20" i="51"/>
  <c r="T19" i="51"/>
  <c r="C20" i="28"/>
  <c r="C21" i="28" s="1"/>
  <c r="C23" i="28" s="1"/>
  <c r="C31" i="28"/>
  <c r="M9" i="31"/>
  <c r="N9" i="31"/>
  <c r="I86" i="7"/>
  <c r="I88" i="7" s="1"/>
  <c r="G57" i="28"/>
  <c r="G63" i="28" s="1"/>
  <c r="G65" i="28" s="1"/>
  <c r="P7" i="45"/>
  <c r="P85" i="45" s="1"/>
  <c r="P117" i="45" s="1"/>
  <c r="I25" i="60"/>
  <c r="H7" i="67"/>
  <c r="I62" i="60"/>
  <c r="H11" i="28" s="1"/>
  <c r="I58" i="60"/>
  <c r="O10" i="26"/>
  <c r="O127" i="45" s="1"/>
  <c r="O99" i="45"/>
  <c r="L86" i="28"/>
  <c r="D72" i="7"/>
  <c r="B50" i="28" s="1"/>
  <c r="L72" i="7"/>
  <c r="J50" i="28" s="1"/>
  <c r="G72" i="7"/>
  <c r="E50" i="28" s="1"/>
  <c r="O72" i="7"/>
  <c r="M50" i="28" s="1"/>
  <c r="M72" i="7"/>
  <c r="K50" i="28" s="1"/>
  <c r="E72" i="7"/>
  <c r="C50" i="28" s="1"/>
  <c r="I72" i="7"/>
  <c r="G50" i="28" s="1"/>
  <c r="J72" i="7"/>
  <c r="H50" i="28" s="1"/>
  <c r="K72" i="7"/>
  <c r="I50" i="28" s="1"/>
  <c r="P72" i="7"/>
  <c r="N50" i="28" s="1"/>
  <c r="F72" i="7"/>
  <c r="D50" i="28" s="1"/>
  <c r="S16" i="26"/>
  <c r="S134" i="45"/>
  <c r="S130" i="45" s="1"/>
  <c r="S30" i="28"/>
  <c r="B176" i="67"/>
  <c r="T175" i="67"/>
  <c r="T176" i="67"/>
  <c r="U79" i="45"/>
  <c r="U93" i="67"/>
  <c r="G79" i="45"/>
  <c r="G93" i="67"/>
  <c r="K79" i="45"/>
  <c r="K93" i="67"/>
  <c r="V20" i="51"/>
  <c r="G21" i="51"/>
  <c r="M61" i="60"/>
  <c r="M65" i="60" s="1"/>
  <c r="L13" i="28"/>
  <c r="F9" i="58"/>
  <c r="F58" i="58" s="1"/>
  <c r="O6" i="31"/>
  <c r="P6" i="31" s="1"/>
  <c r="X24" i="51"/>
  <c r="L25" i="51"/>
  <c r="J86" i="28"/>
  <c r="J113" i="67"/>
  <c r="J99" i="67"/>
  <c r="J131" i="67" s="1"/>
  <c r="M15" i="31"/>
  <c r="N15" i="31"/>
  <c r="J10" i="26"/>
  <c r="J127" i="45" s="1"/>
  <c r="J85" i="45"/>
  <c r="J117" i="45" s="1"/>
  <c r="T13" i="26"/>
  <c r="T86" i="28"/>
  <c r="T84" i="28" s="1"/>
  <c r="T87" i="28" s="1"/>
  <c r="T12" i="26"/>
  <c r="T19" i="26" s="1"/>
  <c r="T137" i="45" s="1"/>
  <c r="Y3" i="31"/>
  <c r="I23" i="31"/>
  <c r="Q58" i="60"/>
  <c r="P7" i="67"/>
  <c r="H177" i="45"/>
  <c r="H178" i="45" s="1"/>
  <c r="U177" i="45"/>
  <c r="U178" i="45"/>
  <c r="B196" i="45"/>
  <c r="B148" i="67"/>
  <c r="B186" i="67"/>
  <c r="C69" i="60"/>
  <c r="O14" i="31"/>
  <c r="P14" i="31" s="1"/>
  <c r="R131" i="45"/>
  <c r="Q174" i="45"/>
  <c r="Q64" i="45"/>
  <c r="Q77" i="45" s="1"/>
  <c r="Q84" i="45" s="1"/>
  <c r="Q98" i="45" s="1"/>
  <c r="Q116" i="45" s="1"/>
  <c r="Q141" i="45" s="1"/>
  <c r="Q159" i="45" s="1"/>
  <c r="Q190" i="45" s="1"/>
  <c r="Q220" i="45" s="1"/>
  <c r="Q230" i="45" s="1"/>
  <c r="G88" i="7"/>
  <c r="O88" i="7"/>
  <c r="D80" i="45"/>
  <c r="D94" i="67"/>
  <c r="G27" i="54"/>
  <c r="D46" i="54"/>
  <c r="F46" i="54" s="1"/>
  <c r="H46" i="54"/>
  <c r="J46" i="54" s="1"/>
  <c r="F99" i="67"/>
  <c r="F131" i="67" s="1"/>
  <c r="D21" i="28"/>
  <c r="D23" i="28" s="1"/>
  <c r="Q182" i="45"/>
  <c r="F27" i="54"/>
  <c r="H27" i="54" s="1"/>
  <c r="I27" i="54" s="1"/>
  <c r="I37" i="54" s="1"/>
  <c r="Q94" i="67"/>
  <c r="Q80" i="45"/>
  <c r="M35" i="26"/>
  <c r="M27" i="26"/>
  <c r="O27" i="26"/>
  <c r="O35" i="26"/>
  <c r="M59" i="46"/>
  <c r="I59" i="46"/>
  <c r="U59" i="46"/>
  <c r="P55" i="28"/>
  <c r="P65" i="28" s="1"/>
  <c r="F7" i="45"/>
  <c r="F10" i="26" s="1"/>
  <c r="F127" i="45" s="1"/>
  <c r="I86" i="28"/>
  <c r="F131" i="45"/>
  <c r="X21" i="51"/>
  <c r="O11" i="31"/>
  <c r="P11" i="31" s="1"/>
  <c r="Q125" i="45"/>
  <c r="H69" i="7"/>
  <c r="F47" i="28" s="1"/>
  <c r="N69" i="7"/>
  <c r="L47" i="28" s="1"/>
  <c r="M7" i="31"/>
  <c r="N7" i="31" s="1"/>
  <c r="E178" i="45"/>
  <c r="U65" i="60"/>
  <c r="T148" i="67" s="1"/>
  <c r="B64" i="45"/>
  <c r="B77" i="45" s="1"/>
  <c r="B84" i="45" s="1"/>
  <c r="B98" i="45" s="1"/>
  <c r="B116" i="45" s="1"/>
  <c r="B141" i="45" s="1"/>
  <c r="B159" i="45" s="1"/>
  <c r="B200" i="45" s="1"/>
  <c r="B174" i="45"/>
  <c r="D7" i="45"/>
  <c r="D85" i="45" s="1"/>
  <c r="D117" i="45" s="1"/>
  <c r="F25" i="60"/>
  <c r="L58" i="60"/>
  <c r="L61" i="60" s="1"/>
  <c r="K7" i="67"/>
  <c r="K113" i="67" s="1"/>
  <c r="T93" i="67"/>
  <c r="T79" i="45"/>
  <c r="E27" i="26"/>
  <c r="E35" i="26"/>
  <c r="P93" i="67"/>
  <c r="P79" i="45"/>
  <c r="V62" i="28"/>
  <c r="B52" i="28"/>
  <c r="R53" i="28"/>
  <c r="R55" i="28" s="1"/>
  <c r="T53" i="28"/>
  <c r="T55" i="28" s="1"/>
  <c r="T65" i="28" s="1"/>
  <c r="U16" i="26"/>
  <c r="U30" i="28"/>
  <c r="C93" i="67"/>
  <c r="C79" i="45"/>
  <c r="Q176" i="67"/>
  <c r="B35" i="26"/>
  <c r="B27" i="26"/>
  <c r="Q59" i="46"/>
  <c r="Q21" i="46"/>
  <c r="Q26" i="46" s="1"/>
  <c r="C26" i="46"/>
  <c r="C34" i="46" s="1"/>
  <c r="D42" i="54"/>
  <c r="H42" i="54"/>
  <c r="T185" i="45"/>
  <c r="T186" i="45" s="1"/>
  <c r="F185" i="45"/>
  <c r="F186" i="45" s="1"/>
  <c r="P161" i="67"/>
  <c r="P161" i="45"/>
  <c r="P6" i="68" s="1"/>
  <c r="C161" i="67"/>
  <c r="C161" i="45"/>
  <c r="C6" i="68" s="1"/>
  <c r="U47" i="58"/>
  <c r="T164" i="67"/>
  <c r="T187" i="67" s="1"/>
  <c r="T164" i="45"/>
  <c r="T197" i="45" s="1"/>
  <c r="Q47" i="58"/>
  <c r="H38" i="47"/>
  <c r="H43" i="47" s="1"/>
  <c r="H164" i="45"/>
  <c r="H197" i="45" s="1"/>
  <c r="H164" i="67"/>
  <c r="H187" i="67" s="1"/>
  <c r="J70" i="7"/>
  <c r="H48" i="28" s="1"/>
  <c r="O70" i="7"/>
  <c r="M48" i="28" s="1"/>
  <c r="G70" i="7"/>
  <c r="E48" i="28" s="1"/>
  <c r="L70" i="7"/>
  <c r="J48" i="28" s="1"/>
  <c r="D70" i="7"/>
  <c r="B48" i="28" s="1"/>
  <c r="U134" i="45"/>
  <c r="U130" i="45" s="1"/>
  <c r="U12" i="26"/>
  <c r="U14" i="26" s="1"/>
  <c r="U17" i="26" s="1"/>
  <c r="Q3" i="51"/>
  <c r="S94" i="67"/>
  <c r="S80" i="45"/>
  <c r="Q32" i="47"/>
  <c r="S59" i="46"/>
  <c r="B34" i="46"/>
  <c r="D21" i="46"/>
  <c r="D26" i="46" s="1"/>
  <c r="R63" i="28"/>
  <c r="U63" i="28"/>
  <c r="U65" i="28" s="1"/>
  <c r="Q63" i="28"/>
  <c r="Q65" i="28" s="1"/>
  <c r="Q89" i="60"/>
  <c r="P8" i="47"/>
  <c r="J19" i="47"/>
  <c r="J29" i="47"/>
  <c r="J32" i="47" s="1"/>
  <c r="P154" i="67"/>
  <c r="P14" i="28"/>
  <c r="L154" i="67"/>
  <c r="L14" i="28"/>
  <c r="R15" i="45"/>
  <c r="S49" i="60"/>
  <c r="S61" i="60" s="1"/>
  <c r="R146" i="67" s="1"/>
  <c r="R15" i="67"/>
  <c r="R237" i="67" s="1"/>
  <c r="R155" i="45"/>
  <c r="K15" i="45"/>
  <c r="K154" i="67"/>
  <c r="D15" i="45"/>
  <c r="E49" i="60"/>
  <c r="E61" i="60" s="1"/>
  <c r="E65" i="60" s="1"/>
  <c r="D154" i="67"/>
  <c r="D155" i="45"/>
  <c r="R229" i="67"/>
  <c r="R99" i="67"/>
  <c r="R131" i="67" s="1"/>
  <c r="R113" i="67"/>
  <c r="C5" i="67"/>
  <c r="C175" i="45"/>
  <c r="C173" i="67"/>
  <c r="C174" i="67" s="1"/>
  <c r="C197" i="45"/>
  <c r="R9" i="26"/>
  <c r="R27" i="26" s="1"/>
  <c r="S11" i="58"/>
  <c r="S60" i="58" s="1"/>
  <c r="R3" i="46"/>
  <c r="R18" i="46" s="1"/>
  <c r="S11" i="59"/>
  <c r="S59" i="59" s="1"/>
  <c r="N3" i="47"/>
  <c r="O11" i="58"/>
  <c r="O60" i="58" s="1"/>
  <c r="L11" i="59"/>
  <c r="L59" i="59" s="1"/>
  <c r="K3" i="47"/>
  <c r="G3" i="46"/>
  <c r="G18" i="46" s="1"/>
  <c r="H11" i="59"/>
  <c r="H59" i="59" s="1"/>
  <c r="G9" i="26"/>
  <c r="H11" i="58"/>
  <c r="H60" i="58" s="1"/>
  <c r="C4" i="45"/>
  <c r="C174" i="45" s="1"/>
  <c r="C3" i="47"/>
  <c r="C9" i="26"/>
  <c r="T337" i="67"/>
  <c r="T407" i="67"/>
  <c r="L337" i="67"/>
  <c r="L407" i="67"/>
  <c r="D337" i="67"/>
  <c r="D407" i="67"/>
  <c r="E59" i="46"/>
  <c r="D50" i="54"/>
  <c r="F50" i="54" s="1"/>
  <c r="H50" i="54"/>
  <c r="J50" i="54" s="1"/>
  <c r="N12" i="26"/>
  <c r="N13" i="26"/>
  <c r="Q19" i="51"/>
  <c r="O20" i="51"/>
  <c r="J42" i="7"/>
  <c r="B149" i="45"/>
  <c r="P73" i="45"/>
  <c r="N89" i="60"/>
  <c r="G49" i="60"/>
  <c r="G61" i="60" s="1"/>
  <c r="F146" i="67" s="1"/>
  <c r="F15" i="45"/>
  <c r="O42" i="7"/>
  <c r="B63" i="46"/>
  <c r="H102" i="45"/>
  <c r="O73" i="45"/>
  <c r="K10" i="51"/>
  <c r="W20" i="51"/>
  <c r="I21" i="51"/>
  <c r="O202" i="62"/>
  <c r="N40" i="45"/>
  <c r="B102" i="45"/>
  <c r="Q49" i="60"/>
  <c r="P15" i="45"/>
  <c r="H154" i="67"/>
  <c r="H15" i="45"/>
  <c r="N23" i="60"/>
  <c r="M221" i="67" s="1"/>
  <c r="M115" i="67" s="1"/>
  <c r="D32" i="55"/>
  <c r="C24" i="55"/>
  <c r="E10" i="51"/>
  <c r="B10" i="51"/>
  <c r="M102" i="7"/>
  <c r="P77" i="7"/>
  <c r="P88" i="7" s="1"/>
  <c r="J390" i="67"/>
  <c r="C42" i="7"/>
  <c r="G42" i="7"/>
  <c r="D25" i="63"/>
  <c r="I12" i="31"/>
  <c r="J389" i="67"/>
  <c r="J345" i="67" s="1"/>
  <c r="F390" i="67"/>
  <c r="K309" i="67"/>
  <c r="I82" i="7"/>
  <c r="G59" i="28" s="1"/>
  <c r="I13" i="31"/>
  <c r="I4" i="31"/>
  <c r="F388" i="67"/>
  <c r="F341" i="67" s="1"/>
  <c r="Q309" i="67"/>
  <c r="E13" i="63"/>
  <c r="E15" i="63" s="1"/>
  <c r="U388" i="67"/>
  <c r="U341" i="67" s="1"/>
  <c r="I406" i="67"/>
  <c r="I388" i="67"/>
  <c r="I341" i="67" s="1"/>
  <c r="F406" i="67"/>
  <c r="F409" i="67"/>
  <c r="R389" i="67"/>
  <c r="R345" i="67" s="1"/>
  <c r="F389" i="67"/>
  <c r="F345" i="67" s="1"/>
  <c r="T384" i="67"/>
  <c r="T385" i="67" s="1"/>
  <c r="T387" i="67" s="1"/>
  <c r="T347" i="67" s="1"/>
  <c r="T390" i="67"/>
  <c r="J273" i="67"/>
  <c r="J325" i="67" s="1"/>
  <c r="T40" i="59"/>
  <c r="O40" i="59"/>
  <c r="B56" i="58"/>
  <c r="J23" i="31"/>
  <c r="M3" i="31"/>
  <c r="X3" i="31"/>
  <c r="G23" i="31"/>
  <c r="K65" i="67"/>
  <c r="K287" i="67" s="1"/>
  <c r="C19" i="26"/>
  <c r="C137" i="45" s="1"/>
  <c r="C129" i="45"/>
  <c r="C131" i="45" s="1"/>
  <c r="T335" i="67"/>
  <c r="T403" i="67"/>
  <c r="T339" i="67" s="1"/>
  <c r="T321" i="67"/>
  <c r="T353" i="67" s="1"/>
  <c r="O221" i="67"/>
  <c r="O115" i="67" s="1"/>
  <c r="P51" i="59"/>
  <c r="O51" i="45" s="1"/>
  <c r="O232" i="45" s="1"/>
  <c r="T186" i="67"/>
  <c r="D229" i="67"/>
  <c r="D99" i="67"/>
  <c r="D131" i="67" s="1"/>
  <c r="D113" i="67"/>
  <c r="C321" i="67"/>
  <c r="C353" i="67" s="1"/>
  <c r="C335" i="67"/>
  <c r="C403" i="67"/>
  <c r="C339" i="67" s="1"/>
  <c r="H10" i="26"/>
  <c r="H127" i="45" s="1"/>
  <c r="H85" i="45"/>
  <c r="H117" i="45" s="1"/>
  <c r="K238" i="45"/>
  <c r="K12" i="47"/>
  <c r="D129" i="45"/>
  <c r="D131" i="45" s="1"/>
  <c r="D14" i="26"/>
  <c r="D17" i="26" s="1"/>
  <c r="D55" i="45" s="1"/>
  <c r="D213" i="45" s="1"/>
  <c r="D215" i="45" s="1"/>
  <c r="D19" i="26"/>
  <c r="D137" i="45" s="1"/>
  <c r="R10" i="26"/>
  <c r="R127" i="45" s="1"/>
  <c r="R99" i="45"/>
  <c r="U147" i="45"/>
  <c r="O129" i="45"/>
  <c r="O131" i="45" s="1"/>
  <c r="O19" i="26"/>
  <c r="O137" i="45" s="1"/>
  <c r="S129" i="45"/>
  <c r="S14" i="26"/>
  <c r="S19" i="26"/>
  <c r="S137" i="45" s="1"/>
  <c r="S103" i="67"/>
  <c r="S273" i="67"/>
  <c r="S325" i="67" s="1"/>
  <c r="E273" i="67"/>
  <c r="E325" i="67" s="1"/>
  <c r="E103" i="67"/>
  <c r="B103" i="67"/>
  <c r="B273" i="67"/>
  <c r="B325" i="67" s="1"/>
  <c r="D87" i="59"/>
  <c r="C12" i="46"/>
  <c r="C61" i="46"/>
  <c r="C63" i="46" s="1"/>
  <c r="U51" i="59"/>
  <c r="T51" i="45" s="1"/>
  <c r="T232" i="45" s="1"/>
  <c r="T47" i="46"/>
  <c r="T50" i="46" s="1"/>
  <c r="T238" i="45"/>
  <c r="N12" i="47"/>
  <c r="M47" i="46"/>
  <c r="M50" i="46" s="1"/>
  <c r="M238" i="45"/>
  <c r="N51" i="59"/>
  <c r="H145" i="67"/>
  <c r="I40" i="59"/>
  <c r="H47" i="46" s="1"/>
  <c r="H146" i="45"/>
  <c r="D145" i="67"/>
  <c r="D146" i="45"/>
  <c r="N403" i="67"/>
  <c r="N339" i="67" s="1"/>
  <c r="N321" i="67"/>
  <c r="N353" i="67" s="1"/>
  <c r="N335" i="67"/>
  <c r="F13" i="28"/>
  <c r="K47" i="46"/>
  <c r="E335" i="67"/>
  <c r="E403" i="67"/>
  <c r="E339" i="67" s="1"/>
  <c r="E321" i="67"/>
  <c r="E353" i="67" s="1"/>
  <c r="E85" i="59"/>
  <c r="R78" i="67"/>
  <c r="R91" i="67" s="1"/>
  <c r="R98" i="67" s="1"/>
  <c r="R112" i="67" s="1"/>
  <c r="R130" i="67" s="1"/>
  <c r="R140" i="67" s="1"/>
  <c r="R159" i="67" s="1"/>
  <c r="R180" i="67" s="1"/>
  <c r="R202" i="67" s="1"/>
  <c r="R213" i="67" s="1"/>
  <c r="R226" i="67"/>
  <c r="R300" i="67" s="1"/>
  <c r="R313" i="67" s="1"/>
  <c r="R320" i="67" s="1"/>
  <c r="R334" i="67" s="1"/>
  <c r="R352" i="67" s="1"/>
  <c r="R362" i="67" s="1"/>
  <c r="R381" i="67" s="1"/>
  <c r="R402" i="67" s="1"/>
  <c r="R424" i="67" s="1"/>
  <c r="R435" i="67" s="1"/>
  <c r="H99" i="45"/>
  <c r="T221" i="67"/>
  <c r="T185" i="67" s="1"/>
  <c r="O14" i="26"/>
  <c r="O17" i="26" s="1"/>
  <c r="O135" i="45" s="1"/>
  <c r="R14" i="26"/>
  <c r="R17" i="26" s="1"/>
  <c r="R55" i="45" s="1"/>
  <c r="R213" i="45" s="1"/>
  <c r="R215" i="45" s="1"/>
  <c r="R19" i="26"/>
  <c r="R137" i="45" s="1"/>
  <c r="M125" i="45"/>
  <c r="M174" i="45"/>
  <c r="J174" i="45"/>
  <c r="J182" i="45"/>
  <c r="J64" i="45"/>
  <c r="J77" i="45" s="1"/>
  <c r="J84" i="45" s="1"/>
  <c r="J98" i="45" s="1"/>
  <c r="J116" i="45" s="1"/>
  <c r="J141" i="45" s="1"/>
  <c r="J159" i="45" s="1"/>
  <c r="J190" i="45" s="1"/>
  <c r="J220" i="45" s="1"/>
  <c r="J230" i="45" s="1"/>
  <c r="R125" i="45"/>
  <c r="R182" i="45"/>
  <c r="R174" i="45"/>
  <c r="U10" i="26"/>
  <c r="U127" i="45" s="1"/>
  <c r="U85" i="45"/>
  <c r="U117" i="45" s="1"/>
  <c r="U99" i="45"/>
  <c r="T27" i="26"/>
  <c r="F61" i="60"/>
  <c r="E146" i="67" s="1"/>
  <c r="E13" i="28"/>
  <c r="U146" i="67"/>
  <c r="T147" i="45"/>
  <c r="L57" i="60"/>
  <c r="K4" i="45"/>
  <c r="K182" i="45" s="1"/>
  <c r="K3" i="46"/>
  <c r="K18" i="46" s="1"/>
  <c r="L11" i="58"/>
  <c r="L60" i="58" s="1"/>
  <c r="I202" i="62"/>
  <c r="H208" i="45"/>
  <c r="E77" i="58"/>
  <c r="D32" i="46" s="1"/>
  <c r="D33" i="46" s="1"/>
  <c r="F335" i="67"/>
  <c r="J229" i="67"/>
  <c r="J403" i="67" s="1"/>
  <c r="J339" i="67" s="1"/>
  <c r="U13" i="28"/>
  <c r="I62" i="62"/>
  <c r="H48" i="67" s="1"/>
  <c r="H270" i="67" s="1"/>
  <c r="D61" i="60"/>
  <c r="D65" i="60" s="1"/>
  <c r="Q78" i="67"/>
  <c r="Q91" i="67" s="1"/>
  <c r="Q98" i="67" s="1"/>
  <c r="Q112" i="67" s="1"/>
  <c r="Q130" i="67" s="1"/>
  <c r="Q140" i="67" s="1"/>
  <c r="Q159" i="67" s="1"/>
  <c r="Q180" i="67" s="1"/>
  <c r="Q202" i="67" s="1"/>
  <c r="Q213" i="67" s="1"/>
  <c r="K9" i="26"/>
  <c r="K35" i="26" s="1"/>
  <c r="D35" i="26"/>
  <c r="D27" i="26"/>
  <c r="T71" i="28"/>
  <c r="L85" i="45"/>
  <c r="L117" i="45" s="1"/>
  <c r="F321" i="67"/>
  <c r="F353" i="67" s="1"/>
  <c r="L10" i="26"/>
  <c r="L127" i="45" s="1"/>
  <c r="F64" i="45"/>
  <c r="F77" i="45" s="1"/>
  <c r="F84" i="45" s="1"/>
  <c r="F98" i="45" s="1"/>
  <c r="F116" i="45" s="1"/>
  <c r="F141" i="45" s="1"/>
  <c r="F159" i="45" s="1"/>
  <c r="F182" i="45"/>
  <c r="U226" i="67"/>
  <c r="U300" i="67" s="1"/>
  <c r="U313" i="67" s="1"/>
  <c r="U320" i="67" s="1"/>
  <c r="U334" i="67" s="1"/>
  <c r="U352" i="67" s="1"/>
  <c r="U362" i="67" s="1"/>
  <c r="U381" i="67" s="1"/>
  <c r="U402" i="67" s="1"/>
  <c r="U424" i="67" s="1"/>
  <c r="U435" i="67" s="1"/>
  <c r="K4" i="67"/>
  <c r="K226" i="67" s="1"/>
  <c r="K300" i="67" s="1"/>
  <c r="K313" i="67" s="1"/>
  <c r="K320" i="67" s="1"/>
  <c r="K334" i="67" s="1"/>
  <c r="K352" i="67" s="1"/>
  <c r="K362" i="67" s="1"/>
  <c r="K381" i="67" s="1"/>
  <c r="K402" i="67" s="1"/>
  <c r="K424" i="67" s="1"/>
  <c r="K435" i="67" s="1"/>
  <c r="C9" i="58"/>
  <c r="C58" i="58" s="1"/>
  <c r="B112" i="45"/>
  <c r="B28" i="26"/>
  <c r="B30" i="26" s="1"/>
  <c r="B31" i="26" s="1"/>
  <c r="B36" i="26"/>
  <c r="B38" i="26" s="1"/>
  <c r="B40" i="26" s="1"/>
  <c r="B41" i="26" s="1"/>
  <c r="B42" i="26" s="1"/>
  <c r="T4" i="45"/>
  <c r="U57" i="60"/>
  <c r="F100" i="45"/>
  <c r="F114" i="67"/>
  <c r="T146" i="67"/>
  <c r="D40" i="45"/>
  <c r="E202" i="62"/>
  <c r="B54" i="60"/>
  <c r="M57" i="60"/>
  <c r="Q61" i="60"/>
  <c r="P13" i="28"/>
  <c r="H221" i="67"/>
  <c r="H238" i="45"/>
  <c r="D147" i="67"/>
  <c r="E40" i="59"/>
  <c r="D148" i="45"/>
  <c r="L146" i="67"/>
  <c r="L27" i="26"/>
  <c r="L35" i="26"/>
  <c r="C31" i="67"/>
  <c r="C253" i="67" s="1"/>
  <c r="D99" i="45"/>
  <c r="D10" i="26"/>
  <c r="D127" i="45" s="1"/>
  <c r="B31" i="67"/>
  <c r="B253" i="67" s="1"/>
  <c r="U147" i="67"/>
  <c r="U148" i="67" s="1"/>
  <c r="U148" i="45"/>
  <c r="U149" i="45" s="1"/>
  <c r="R147" i="67"/>
  <c r="S40" i="59"/>
  <c r="R148" i="45"/>
  <c r="R40" i="59"/>
  <c r="Q146" i="45"/>
  <c r="Q145" i="67"/>
  <c r="P99" i="45"/>
  <c r="P10" i="26"/>
  <c r="P127" i="45" s="1"/>
  <c r="Q335" i="67"/>
  <c r="Q403" i="67"/>
  <c r="Q339" i="67" s="1"/>
  <c r="Q321" i="67"/>
  <c r="Q353" i="67" s="1"/>
  <c r="M129" i="45"/>
  <c r="M131" i="45" s="1"/>
  <c r="M19" i="26"/>
  <c r="M137" i="45" s="1"/>
  <c r="M14" i="26"/>
  <c r="M17" i="26" s="1"/>
  <c r="J101" i="45"/>
  <c r="J226" i="45"/>
  <c r="J195" i="45"/>
  <c r="O113" i="67"/>
  <c r="O99" i="67"/>
  <c r="O131" i="67" s="1"/>
  <c r="O229" i="67"/>
  <c r="B190" i="45"/>
  <c r="B220" i="45" s="1"/>
  <c r="B230" i="45" s="1"/>
  <c r="D64" i="59"/>
  <c r="C53" i="46"/>
  <c r="E62" i="59"/>
  <c r="R61" i="60"/>
  <c r="R65" i="60" s="1"/>
  <c r="Q13" i="28"/>
  <c r="L190" i="45"/>
  <c r="L220" i="45" s="1"/>
  <c r="L230" i="45" s="1"/>
  <c r="L200" i="45"/>
  <c r="L4" i="68"/>
  <c r="G51" i="59"/>
  <c r="F221" i="67"/>
  <c r="F238" i="45"/>
  <c r="F47" i="46"/>
  <c r="F50" i="46" s="1"/>
  <c r="S99" i="67"/>
  <c r="S131" i="67" s="1"/>
  <c r="S229" i="67"/>
  <c r="S85" i="45"/>
  <c r="S117" i="45" s="1"/>
  <c r="S99" i="45"/>
  <c r="S10" i="26"/>
  <c r="S127" i="45" s="1"/>
  <c r="O71" i="28"/>
  <c r="N11" i="28"/>
  <c r="O65" i="60"/>
  <c r="R11" i="28"/>
  <c r="S65" i="60"/>
  <c r="H200" i="45"/>
  <c r="H190" i="45"/>
  <c r="H220" i="45" s="1"/>
  <c r="H230" i="45" s="1"/>
  <c r="H4" i="68"/>
  <c r="O200" i="45"/>
  <c r="O4" i="68"/>
  <c r="J147" i="45"/>
  <c r="K65" i="60"/>
  <c r="H71" i="28"/>
  <c r="Q200" i="45"/>
  <c r="O12" i="47"/>
  <c r="O238" i="45"/>
  <c r="S13" i="28"/>
  <c r="T61" i="60"/>
  <c r="R200" i="45"/>
  <c r="R4" i="68"/>
  <c r="E226" i="67"/>
  <c r="E300" i="67" s="1"/>
  <c r="E313" i="67" s="1"/>
  <c r="E320" i="67" s="1"/>
  <c r="E334" i="67" s="1"/>
  <c r="E352" i="67" s="1"/>
  <c r="E362" i="67" s="1"/>
  <c r="E381" i="67" s="1"/>
  <c r="E402" i="67" s="1"/>
  <c r="E424" i="67" s="1"/>
  <c r="E435" i="67" s="1"/>
  <c r="E78" i="67"/>
  <c r="E91" i="67" s="1"/>
  <c r="E98" i="67" s="1"/>
  <c r="E112" i="67" s="1"/>
  <c r="E130" i="67" s="1"/>
  <c r="E140" i="67" s="1"/>
  <c r="E159" i="67" s="1"/>
  <c r="E180" i="67" s="1"/>
  <c r="E202" i="67" s="1"/>
  <c r="E213" i="67" s="1"/>
  <c r="Q35" i="26"/>
  <c r="Q27" i="26"/>
  <c r="J226" i="67"/>
  <c r="J300" i="67" s="1"/>
  <c r="J313" i="67" s="1"/>
  <c r="J320" i="67" s="1"/>
  <c r="J334" i="67" s="1"/>
  <c r="J352" i="67" s="1"/>
  <c r="J362" i="67" s="1"/>
  <c r="J381" i="67" s="1"/>
  <c r="J402" i="67" s="1"/>
  <c r="J424" i="67" s="1"/>
  <c r="J435" i="67" s="1"/>
  <c r="J78" i="67"/>
  <c r="J91" i="67" s="1"/>
  <c r="J98" i="67" s="1"/>
  <c r="J112" i="67" s="1"/>
  <c r="J130" i="67" s="1"/>
  <c r="J140" i="67" s="1"/>
  <c r="J159" i="67" s="1"/>
  <c r="J180" i="67" s="1"/>
  <c r="J202" i="67" s="1"/>
  <c r="J213" i="67" s="1"/>
  <c r="N112" i="45"/>
  <c r="N126" i="67"/>
  <c r="B40" i="45"/>
  <c r="B208" i="45"/>
  <c r="C202" i="62"/>
  <c r="B50" i="67"/>
  <c r="B272" i="67" s="1"/>
  <c r="T196" i="45"/>
  <c r="T149" i="45"/>
  <c r="M12" i="47"/>
  <c r="L12" i="47"/>
  <c r="L221" i="67"/>
  <c r="O13" i="28"/>
  <c r="P61" i="60"/>
  <c r="U186" i="67"/>
  <c r="V69" i="60"/>
  <c r="E101" i="45"/>
  <c r="N85" i="45"/>
  <c r="N117" i="45" s="1"/>
  <c r="N99" i="45"/>
  <c r="P129" i="45"/>
  <c r="P14" i="26"/>
  <c r="P17" i="26" s="1"/>
  <c r="U99" i="67"/>
  <c r="U131" i="67" s="1"/>
  <c r="U229" i="67"/>
  <c r="R35" i="26"/>
  <c r="N149" i="45"/>
  <c r="T112" i="45"/>
  <c r="T126" i="67"/>
  <c r="G147" i="67"/>
  <c r="H40" i="59"/>
  <c r="C148" i="45"/>
  <c r="C147" i="67"/>
  <c r="C148" i="67" s="1"/>
  <c r="D40" i="59"/>
  <c r="C145" i="67"/>
  <c r="T113" i="67"/>
  <c r="T99" i="67"/>
  <c r="T131" i="67" s="1"/>
  <c r="F19" i="26"/>
  <c r="F137" i="45" s="1"/>
  <c r="F14" i="26"/>
  <c r="H10" i="60"/>
  <c r="I9" i="62"/>
  <c r="E125" i="45"/>
  <c r="E174" i="45"/>
  <c r="E182" i="45"/>
  <c r="E64" i="45"/>
  <c r="E77" i="45" s="1"/>
  <c r="E84" i="45" s="1"/>
  <c r="E98" i="45" s="1"/>
  <c r="E116" i="45" s="1"/>
  <c r="E141" i="45" s="1"/>
  <c r="E159" i="45" s="1"/>
  <c r="J71" i="28"/>
  <c r="T99" i="45"/>
  <c r="T85" i="45"/>
  <c r="T117" i="45" s="1"/>
  <c r="Q14" i="26"/>
  <c r="Q17" i="26" s="1"/>
  <c r="Q129" i="45"/>
  <c r="Q131" i="45" s="1"/>
  <c r="Q148" i="67"/>
  <c r="P19" i="26"/>
  <c r="P137" i="45" s="1"/>
  <c r="J27" i="26"/>
  <c r="J35" i="26"/>
  <c r="T57" i="60"/>
  <c r="S4" i="45"/>
  <c r="S4" i="67"/>
  <c r="S9" i="26"/>
  <c r="S3" i="46"/>
  <c r="S18" i="46" s="1"/>
  <c r="T11" i="59"/>
  <c r="T59" i="59" s="1"/>
  <c r="T11" i="58"/>
  <c r="T60" i="58" s="1"/>
  <c r="Q57" i="60"/>
  <c r="Q11" i="58"/>
  <c r="Q60" i="58" s="1"/>
  <c r="Q11" i="59"/>
  <c r="Q59" i="59" s="1"/>
  <c r="P4" i="45"/>
  <c r="P3" i="46"/>
  <c r="P18" i="46" s="1"/>
  <c r="P4" i="67"/>
  <c r="P3" i="47"/>
  <c r="P9" i="26"/>
  <c r="H57" i="60"/>
  <c r="G4" i="45"/>
  <c r="G4" i="67"/>
  <c r="G3" i="47"/>
  <c r="D182" i="45"/>
  <c r="D64" i="45"/>
  <c r="D77" i="45" s="1"/>
  <c r="D84" i="45" s="1"/>
  <c r="D98" i="45" s="1"/>
  <c r="D116" i="45" s="1"/>
  <c r="D141" i="45" s="1"/>
  <c r="D159" i="45" s="1"/>
  <c r="H6" i="59"/>
  <c r="H55" i="59" s="1"/>
  <c r="H56" i="58"/>
  <c r="L112" i="45"/>
  <c r="L126" i="67"/>
  <c r="U102" i="45"/>
  <c r="U116" i="67"/>
  <c r="Q116" i="67"/>
  <c r="Q102" i="45"/>
  <c r="M202" i="62"/>
  <c r="L40" i="45"/>
  <c r="L208" i="45"/>
  <c r="L50" i="67"/>
  <c r="L272" i="67" s="1"/>
  <c r="C113" i="67"/>
  <c r="C99" i="67"/>
  <c r="C131" i="67" s="1"/>
  <c r="K208" i="67"/>
  <c r="J335" i="67"/>
  <c r="J321" i="67"/>
  <c r="J353" i="67" s="1"/>
  <c r="K229" i="67"/>
  <c r="K99" i="67"/>
  <c r="K131" i="67" s="1"/>
  <c r="E85" i="45"/>
  <c r="E117" i="45" s="1"/>
  <c r="E10" i="26"/>
  <c r="E127" i="45" s="1"/>
  <c r="M64" i="45"/>
  <c r="M77" i="45" s="1"/>
  <c r="M84" i="45" s="1"/>
  <c r="M98" i="45" s="1"/>
  <c r="M116" i="45" s="1"/>
  <c r="M141" i="45" s="1"/>
  <c r="M159" i="45" s="1"/>
  <c r="M182" i="45"/>
  <c r="I78" i="67"/>
  <c r="I91" i="67" s="1"/>
  <c r="I98" i="67" s="1"/>
  <c r="I112" i="67" s="1"/>
  <c r="I130" i="67" s="1"/>
  <c r="I140" i="67" s="1"/>
  <c r="I159" i="67" s="1"/>
  <c r="I180" i="67" s="1"/>
  <c r="I202" i="67" s="1"/>
  <c r="I213" i="67" s="1"/>
  <c r="I226" i="67"/>
  <c r="I300" i="67" s="1"/>
  <c r="I313" i="67" s="1"/>
  <c r="I320" i="67" s="1"/>
  <c r="I334" i="67" s="1"/>
  <c r="I352" i="67" s="1"/>
  <c r="I362" i="67" s="1"/>
  <c r="I381" i="67" s="1"/>
  <c r="I402" i="67" s="1"/>
  <c r="I424" i="67" s="1"/>
  <c r="I435" i="67" s="1"/>
  <c r="C64" i="45"/>
  <c r="C77" i="45" s="1"/>
  <c r="C84" i="45" s="1"/>
  <c r="C98" i="45" s="1"/>
  <c r="C116" i="45" s="1"/>
  <c r="C141" i="45" s="1"/>
  <c r="C159" i="45" s="1"/>
  <c r="J112" i="45"/>
  <c r="J126" i="67"/>
  <c r="R116" i="67"/>
  <c r="R102" i="45"/>
  <c r="N50" i="67"/>
  <c r="N272" i="67" s="1"/>
  <c r="O62" i="62"/>
  <c r="N48" i="67" s="1"/>
  <c r="N270" i="67" s="1"/>
  <c r="U174" i="45"/>
  <c r="U64" i="45"/>
  <c r="U77" i="45" s="1"/>
  <c r="U84" i="45" s="1"/>
  <c r="U98" i="45" s="1"/>
  <c r="U116" i="45" s="1"/>
  <c r="U141" i="45" s="1"/>
  <c r="U159" i="45" s="1"/>
  <c r="N64" i="45"/>
  <c r="N77" i="45" s="1"/>
  <c r="N84" i="45" s="1"/>
  <c r="N98" i="45" s="1"/>
  <c r="N116" i="45" s="1"/>
  <c r="N141" i="45" s="1"/>
  <c r="N159" i="45" s="1"/>
  <c r="N174" i="45"/>
  <c r="U19" i="26"/>
  <c r="U137" i="45" s="1"/>
  <c r="K64" i="45"/>
  <c r="K77" i="45" s="1"/>
  <c r="K84" i="45" s="1"/>
  <c r="K98" i="45" s="1"/>
  <c r="K116" i="45" s="1"/>
  <c r="K141" i="45" s="1"/>
  <c r="K159" i="45" s="1"/>
  <c r="K125" i="45"/>
  <c r="K174" i="45"/>
  <c r="L114" i="67"/>
  <c r="L100" i="45"/>
  <c r="I114" i="67"/>
  <c r="I100" i="45"/>
  <c r="Q202" i="62"/>
  <c r="P40" i="45"/>
  <c r="P208" i="45"/>
  <c r="P50" i="67"/>
  <c r="P272" i="67" s="1"/>
  <c r="I50" i="67"/>
  <c r="I272" i="67" s="1"/>
  <c r="J62" i="62"/>
  <c r="I48" i="67" s="1"/>
  <c r="I270" i="67" s="1"/>
  <c r="J202" i="62"/>
  <c r="G62" i="62"/>
  <c r="F48" i="67" s="1"/>
  <c r="F270" i="67" s="1"/>
  <c r="G202" i="62"/>
  <c r="F40" i="45"/>
  <c r="F208" i="45"/>
  <c r="T29" i="67"/>
  <c r="K78" i="67"/>
  <c r="K91" i="67" s="1"/>
  <c r="K98" i="67" s="1"/>
  <c r="K112" i="67" s="1"/>
  <c r="K130" i="67" s="1"/>
  <c r="K140" i="67" s="1"/>
  <c r="K159" i="67" s="1"/>
  <c r="K180" i="67" s="1"/>
  <c r="K202" i="67" s="1"/>
  <c r="K213" i="67" s="1"/>
  <c r="P57" i="60"/>
  <c r="O3" i="47"/>
  <c r="O3" i="46"/>
  <c r="O18" i="46" s="1"/>
  <c r="O4" i="67"/>
  <c r="P11" i="58"/>
  <c r="P60" i="58" s="1"/>
  <c r="E57" i="60"/>
  <c r="D3" i="46"/>
  <c r="D18" i="46" s="1"/>
  <c r="D3" i="47"/>
  <c r="D4" i="67"/>
  <c r="C112" i="45"/>
  <c r="C126" i="67"/>
  <c r="M114" i="67"/>
  <c r="M100" i="45"/>
  <c r="N62" i="62"/>
  <c r="M48" i="67" s="1"/>
  <c r="M270" i="67" s="1"/>
  <c r="N202" i="62"/>
  <c r="M50" i="67"/>
  <c r="M272" i="67" s="1"/>
  <c r="R147" i="45"/>
  <c r="V57" i="60"/>
  <c r="U3" i="46"/>
  <c r="U18" i="46" s="1"/>
  <c r="V11" i="59"/>
  <c r="V59" i="59" s="1"/>
  <c r="U9" i="26"/>
  <c r="O11" i="59"/>
  <c r="O59" i="59" s="1"/>
  <c r="N9" i="26"/>
  <c r="L4" i="67"/>
  <c r="M11" i="58"/>
  <c r="M60" i="58" s="1"/>
  <c r="J11" i="59"/>
  <c r="J59" i="59" s="1"/>
  <c r="I9" i="26"/>
  <c r="I4" i="45"/>
  <c r="D57" i="60"/>
  <c r="C4" i="67"/>
  <c r="S126" i="67"/>
  <c r="S112" i="45"/>
  <c r="P102" i="45"/>
  <c r="P116" i="67"/>
  <c r="P147" i="67"/>
  <c r="Q40" i="59"/>
  <c r="P12" i="47" s="1"/>
  <c r="J40" i="59"/>
  <c r="C40" i="59"/>
  <c r="B146" i="45"/>
  <c r="B147" i="45" s="1"/>
  <c r="T40" i="45"/>
  <c r="U202" i="62"/>
  <c r="T208" i="45"/>
  <c r="T50" i="67"/>
  <c r="T272" i="67" s="1"/>
  <c r="G50" i="67"/>
  <c r="G272" i="67" s="1"/>
  <c r="H202" i="62"/>
  <c r="G40" i="45"/>
  <c r="D114" i="67"/>
  <c r="D100" i="45"/>
  <c r="V40" i="59"/>
  <c r="U12" i="47" s="1"/>
  <c r="B3" i="45"/>
  <c r="B63" i="45" s="1"/>
  <c r="C10" i="58"/>
  <c r="C59" i="58" s="1"/>
  <c r="B3" i="67"/>
  <c r="B201" i="67" s="1"/>
  <c r="C56" i="60"/>
  <c r="B8" i="26"/>
  <c r="B2" i="28"/>
  <c r="B37" i="28" s="1"/>
  <c r="A18" i="51"/>
  <c r="B9" i="51" s="1"/>
  <c r="B2" i="51" s="1"/>
  <c r="B2" i="46"/>
  <c r="B17" i="46" s="1"/>
  <c r="B41" i="46" s="1"/>
  <c r="B2" i="47"/>
  <c r="B23" i="47" s="1"/>
  <c r="B34" i="47" s="1"/>
  <c r="D15" i="62"/>
  <c r="D11" i="60"/>
  <c r="D24" i="62"/>
  <c r="F200" i="45"/>
  <c r="F4" i="68"/>
  <c r="F190" i="45"/>
  <c r="F220" i="45" s="1"/>
  <c r="F230" i="45" s="1"/>
  <c r="F226" i="67"/>
  <c r="F300" i="67" s="1"/>
  <c r="F313" i="67" s="1"/>
  <c r="F320" i="67" s="1"/>
  <c r="F334" i="67" s="1"/>
  <c r="F352" i="67" s="1"/>
  <c r="F362" i="67" s="1"/>
  <c r="F381" i="67" s="1"/>
  <c r="F402" i="67" s="1"/>
  <c r="F424" i="67" s="1"/>
  <c r="F435" i="67" s="1"/>
  <c r="F78" i="67"/>
  <c r="F91" i="67" s="1"/>
  <c r="F98" i="67" s="1"/>
  <c r="F112" i="67" s="1"/>
  <c r="F130" i="67" s="1"/>
  <c r="F140" i="67" s="1"/>
  <c r="F159" i="67" s="1"/>
  <c r="F180" i="67" s="1"/>
  <c r="F202" i="67" s="1"/>
  <c r="F213" i="67" s="1"/>
  <c r="F125" i="45"/>
  <c r="G57" i="60"/>
  <c r="G11" i="58"/>
  <c r="G60" i="58" s="1"/>
  <c r="F9" i="26"/>
  <c r="G11" i="59"/>
  <c r="G59" i="59" s="1"/>
  <c r="F3" i="46"/>
  <c r="F18" i="46" s="1"/>
  <c r="F174" i="45"/>
  <c r="L238" i="45" l="1"/>
  <c r="L101" i="45" s="1"/>
  <c r="L147" i="45"/>
  <c r="J80" i="45"/>
  <c r="H93" i="67"/>
  <c r="H79" i="45"/>
  <c r="H65" i="60"/>
  <c r="G149" i="45" s="1"/>
  <c r="G146" i="67"/>
  <c r="F80" i="45"/>
  <c r="F94" i="67"/>
  <c r="D69" i="67"/>
  <c r="D197" i="67" s="1"/>
  <c r="D198" i="67" s="1"/>
  <c r="D41" i="28"/>
  <c r="P21" i="28"/>
  <c r="P23" i="28" s="1"/>
  <c r="P31" i="28"/>
  <c r="R69" i="67"/>
  <c r="R197" i="67" s="1"/>
  <c r="R198" i="67" s="1"/>
  <c r="P131" i="45"/>
  <c r="R20" i="28"/>
  <c r="R21" i="28" s="1"/>
  <c r="R23" i="28" s="1"/>
  <c r="R38" i="28" s="1"/>
  <c r="R39" i="28" s="1"/>
  <c r="R74" i="28" s="1"/>
  <c r="R135" i="45"/>
  <c r="S131" i="45"/>
  <c r="O20" i="28"/>
  <c r="O21" i="28" s="1"/>
  <c r="O23" i="28" s="1"/>
  <c r="Q20" i="28"/>
  <c r="Q21" i="28" s="1"/>
  <c r="Q23" i="28" s="1"/>
  <c r="Q31" i="28"/>
  <c r="F31" i="28"/>
  <c r="F20" i="28"/>
  <c r="F21" i="28" s="1"/>
  <c r="F23" i="28" s="1"/>
  <c r="M31" i="28"/>
  <c r="M20" i="28"/>
  <c r="K185" i="67"/>
  <c r="J176" i="45"/>
  <c r="J183" i="45"/>
  <c r="J175" i="67"/>
  <c r="J176" i="67"/>
  <c r="G99" i="45"/>
  <c r="G183" i="45"/>
  <c r="G176" i="45"/>
  <c r="G10" i="26"/>
  <c r="G127" i="45" s="1"/>
  <c r="F99" i="45"/>
  <c r="F113" i="67"/>
  <c r="O69" i="67"/>
  <c r="O197" i="67" s="1"/>
  <c r="O198" i="67" s="1"/>
  <c r="O185" i="67"/>
  <c r="O65" i="67"/>
  <c r="O287" i="67" s="1"/>
  <c r="O55" i="45"/>
  <c r="O213" i="45" s="1"/>
  <c r="O215" i="45" s="1"/>
  <c r="N147" i="45"/>
  <c r="N146" i="67"/>
  <c r="M176" i="45"/>
  <c r="M183" i="45"/>
  <c r="L195" i="45"/>
  <c r="L183" i="45"/>
  <c r="L99" i="67"/>
  <c r="L131" i="67" s="1"/>
  <c r="L229" i="67"/>
  <c r="L113" i="67"/>
  <c r="L226" i="45"/>
  <c r="J65" i="67"/>
  <c r="J287" i="67" s="1"/>
  <c r="J115" i="67"/>
  <c r="J185" i="67"/>
  <c r="J208" i="67"/>
  <c r="I175" i="67"/>
  <c r="I176" i="67" s="1"/>
  <c r="J62" i="60"/>
  <c r="I11" i="28" s="1"/>
  <c r="I71" i="28" s="1"/>
  <c r="K25" i="60"/>
  <c r="J58" i="60"/>
  <c r="I7" i="45"/>
  <c r="I7" i="67"/>
  <c r="I183" i="45"/>
  <c r="I176" i="45"/>
  <c r="G148" i="67"/>
  <c r="G113" i="67"/>
  <c r="G229" i="67"/>
  <c r="G65" i="60"/>
  <c r="G69" i="60" s="1"/>
  <c r="F85" i="45"/>
  <c r="F117" i="45" s="1"/>
  <c r="F176" i="45"/>
  <c r="F177" i="45" s="1"/>
  <c r="F178" i="45" s="1"/>
  <c r="F183" i="45"/>
  <c r="F175" i="67"/>
  <c r="F176" i="67" s="1"/>
  <c r="D135" i="45"/>
  <c r="C146" i="67"/>
  <c r="C55" i="45"/>
  <c r="C213" i="45" s="1"/>
  <c r="C215" i="45" s="1"/>
  <c r="C149" i="45"/>
  <c r="D25" i="60"/>
  <c r="B7" i="45"/>
  <c r="B7" i="67"/>
  <c r="B11" i="28"/>
  <c r="B71" i="28" s="1"/>
  <c r="O8" i="31"/>
  <c r="P8" i="31" s="1"/>
  <c r="E69" i="60"/>
  <c r="D196" i="45"/>
  <c r="D186" i="67"/>
  <c r="Q14" i="31"/>
  <c r="R14" i="31"/>
  <c r="V17" i="31"/>
  <c r="U17" i="31"/>
  <c r="U16" i="31"/>
  <c r="V16" i="31" s="1"/>
  <c r="O7" i="31"/>
  <c r="P7" i="31" s="1"/>
  <c r="Q11" i="31"/>
  <c r="R11" i="31"/>
  <c r="Q6" i="31"/>
  <c r="R6" i="31" s="1"/>
  <c r="C41" i="28"/>
  <c r="C40" i="28"/>
  <c r="C38" i="28"/>
  <c r="C39" i="28" s="1"/>
  <c r="C74" i="28" s="1"/>
  <c r="C33" i="28"/>
  <c r="C73" i="28" s="1"/>
  <c r="C72" i="28"/>
  <c r="U10" i="31"/>
  <c r="V10" i="31"/>
  <c r="D146" i="67"/>
  <c r="S47" i="46"/>
  <c r="S50" i="46" s="1"/>
  <c r="T51" i="59"/>
  <c r="S238" i="45"/>
  <c r="S221" i="67"/>
  <c r="N14" i="26"/>
  <c r="N19" i="26"/>
  <c r="N137" i="45" s="1"/>
  <c r="N129" i="45"/>
  <c r="U20" i="28"/>
  <c r="U21" i="28" s="1"/>
  <c r="U23" i="28" s="1"/>
  <c r="U72" i="28" s="1"/>
  <c r="U31" i="28"/>
  <c r="D40" i="28"/>
  <c r="D33" i="28"/>
  <c r="B183" i="67"/>
  <c r="B193" i="45"/>
  <c r="C71" i="60"/>
  <c r="C75" i="60" s="1"/>
  <c r="D38" i="28"/>
  <c r="D39" i="28" s="1"/>
  <c r="D74" i="28" s="1"/>
  <c r="Q4" i="68"/>
  <c r="T208" i="67"/>
  <c r="K13" i="28"/>
  <c r="B4" i="68"/>
  <c r="D34" i="46"/>
  <c r="T14" i="26"/>
  <c r="K15" i="26"/>
  <c r="H58" i="54"/>
  <c r="J42" i="54"/>
  <c r="J58" i="54" s="1"/>
  <c r="G59" i="54" s="1"/>
  <c r="A13" i="51"/>
  <c r="S18" i="31"/>
  <c r="T18" i="31" s="1"/>
  <c r="U3" i="26"/>
  <c r="U129" i="45"/>
  <c r="U131" i="45" s="1"/>
  <c r="C125" i="45"/>
  <c r="M65" i="67"/>
  <c r="M287" i="67" s="1"/>
  <c r="F77" i="58"/>
  <c r="E195" i="45"/>
  <c r="K27" i="26"/>
  <c r="D72" i="28"/>
  <c r="O61" i="67"/>
  <c r="O208" i="67"/>
  <c r="T65" i="67"/>
  <c r="T287" i="67" s="1"/>
  <c r="F147" i="45"/>
  <c r="J4" i="68"/>
  <c r="D149" i="45"/>
  <c r="T129" i="45"/>
  <c r="U69" i="60"/>
  <c r="C135" i="45"/>
  <c r="M4" i="31"/>
  <c r="N4" i="31"/>
  <c r="I19" i="31"/>
  <c r="D33" i="55"/>
  <c r="C32" i="55"/>
  <c r="D58" i="54"/>
  <c r="F42" i="54"/>
  <c r="F58" i="54" s="1"/>
  <c r="C59" i="54" s="1"/>
  <c r="T134" i="45"/>
  <c r="T130" i="45" s="1"/>
  <c r="T16" i="26"/>
  <c r="T30" i="28"/>
  <c r="O15" i="31"/>
  <c r="P15" i="31" s="1"/>
  <c r="S20" i="28"/>
  <c r="S21" i="28" s="1"/>
  <c r="S23" i="28" s="1"/>
  <c r="S31" i="28"/>
  <c r="H99" i="67"/>
  <c r="H131" i="67" s="1"/>
  <c r="H113" i="67"/>
  <c r="H229" i="67"/>
  <c r="N19" i="51"/>
  <c r="U20" i="51"/>
  <c r="E21" i="51"/>
  <c r="E208" i="67"/>
  <c r="E185" i="67"/>
  <c r="E65" i="67"/>
  <c r="E287" i="67" s="1"/>
  <c r="E115" i="67"/>
  <c r="E160" i="67"/>
  <c r="E51" i="45"/>
  <c r="E232" i="45" s="1"/>
  <c r="E29" i="67"/>
  <c r="E160" i="45"/>
  <c r="E61" i="67"/>
  <c r="D148" i="67"/>
  <c r="M12" i="31"/>
  <c r="N12" i="31" s="1"/>
  <c r="E15" i="26"/>
  <c r="C176" i="45"/>
  <c r="C183" i="45"/>
  <c r="R321" i="67"/>
  <c r="R353" i="67" s="1"/>
  <c r="R335" i="67"/>
  <c r="R403" i="67"/>
  <c r="R339" i="67" s="1"/>
  <c r="Q3" i="26"/>
  <c r="H94" i="67"/>
  <c r="H80" i="45"/>
  <c r="P113" i="67"/>
  <c r="P229" i="67"/>
  <c r="P99" i="67"/>
  <c r="P131" i="67" s="1"/>
  <c r="V21" i="51"/>
  <c r="G22" i="51"/>
  <c r="I61" i="60"/>
  <c r="I65" i="60" s="1"/>
  <c r="H149" i="45" s="1"/>
  <c r="H13" i="28"/>
  <c r="P9" i="31"/>
  <c r="O9" i="31"/>
  <c r="M208" i="67"/>
  <c r="Q20" i="51"/>
  <c r="O21" i="51"/>
  <c r="Q93" i="67"/>
  <c r="Q79" i="45"/>
  <c r="R65" i="28"/>
  <c r="L26" i="51"/>
  <c r="X25" i="51"/>
  <c r="U5" i="31"/>
  <c r="V5" i="31" s="1"/>
  <c r="C182" i="45"/>
  <c r="M185" i="67"/>
  <c r="E78" i="58"/>
  <c r="E80" i="58" s="1"/>
  <c r="D31" i="67" s="1"/>
  <c r="D253" i="67" s="1"/>
  <c r="T115" i="67"/>
  <c r="J200" i="45"/>
  <c r="D147" i="45"/>
  <c r="T12" i="47"/>
  <c r="S17" i="26"/>
  <c r="N47" i="46"/>
  <c r="N50" i="46" s="1"/>
  <c r="O51" i="59"/>
  <c r="N221" i="67"/>
  <c r="N238" i="45"/>
  <c r="M13" i="31"/>
  <c r="N13" i="31"/>
  <c r="B11" i="51"/>
  <c r="B3" i="51"/>
  <c r="B15" i="26"/>
  <c r="V10" i="51"/>
  <c r="O25" i="60"/>
  <c r="M7" i="67"/>
  <c r="N58" i="60"/>
  <c r="M7" i="45"/>
  <c r="N25" i="60"/>
  <c r="N62" i="60"/>
  <c r="M11" i="28" s="1"/>
  <c r="W21" i="51"/>
  <c r="I22" i="51"/>
  <c r="N16" i="26"/>
  <c r="N30" i="28"/>
  <c r="N134" i="45"/>
  <c r="N130" i="45" s="1"/>
  <c r="C27" i="26"/>
  <c r="C35" i="26"/>
  <c r="G35" i="26"/>
  <c r="G27" i="26"/>
  <c r="C175" i="67"/>
  <c r="C176" i="67" s="1"/>
  <c r="J93" i="67"/>
  <c r="J79" i="45"/>
  <c r="L177" i="45"/>
  <c r="L178" i="45" s="1"/>
  <c r="AA3" i="31"/>
  <c r="Z3" i="31"/>
  <c r="C21" i="51"/>
  <c r="T20" i="51"/>
  <c r="N20" i="51" s="1"/>
  <c r="D23" i="31"/>
  <c r="N3" i="31"/>
  <c r="B83" i="45"/>
  <c r="B189" i="45"/>
  <c r="Q146" i="67"/>
  <c r="T174" i="45"/>
  <c r="T125" i="45"/>
  <c r="T182" i="45"/>
  <c r="T64" i="45"/>
  <c r="T77" i="45" s="1"/>
  <c r="T84" i="45" s="1"/>
  <c r="T98" i="45" s="1"/>
  <c r="T116" i="45" s="1"/>
  <c r="T141" i="45" s="1"/>
  <c r="T159" i="45" s="1"/>
  <c r="C186" i="67"/>
  <c r="D69" i="60"/>
  <c r="C196" i="45"/>
  <c r="C147" i="45"/>
  <c r="D61" i="46"/>
  <c r="D63" i="46" s="1"/>
  <c r="F85" i="59"/>
  <c r="D12" i="46"/>
  <c r="E87" i="59"/>
  <c r="F65" i="60"/>
  <c r="E147" i="45"/>
  <c r="K195" i="45"/>
  <c r="K226" i="45"/>
  <c r="K101" i="45"/>
  <c r="F15" i="62"/>
  <c r="F24" i="62"/>
  <c r="B32" i="26"/>
  <c r="B94" i="45"/>
  <c r="B108" i="67"/>
  <c r="M160" i="67"/>
  <c r="M61" i="67"/>
  <c r="M29" i="67"/>
  <c r="M160" i="45"/>
  <c r="M51" i="45"/>
  <c r="M232" i="45" s="1"/>
  <c r="T160" i="45"/>
  <c r="T160" i="67"/>
  <c r="T61" i="67"/>
  <c r="D403" i="67"/>
  <c r="D339" i="67" s="1"/>
  <c r="D335" i="67"/>
  <c r="D321" i="67"/>
  <c r="D353" i="67" s="1"/>
  <c r="O29" i="67"/>
  <c r="O160" i="67"/>
  <c r="O160" i="45"/>
  <c r="R149" i="45"/>
  <c r="M226" i="45"/>
  <c r="M101" i="45"/>
  <c r="M195" i="45"/>
  <c r="T195" i="45"/>
  <c r="T226" i="45"/>
  <c r="T101" i="45"/>
  <c r="P72" i="28"/>
  <c r="C81" i="28"/>
  <c r="M69" i="60"/>
  <c r="L196" i="45"/>
  <c r="L186" i="67"/>
  <c r="L149" i="45"/>
  <c r="L148" i="67"/>
  <c r="H115" i="67"/>
  <c r="H185" i="67"/>
  <c r="H65" i="67"/>
  <c r="H287" i="67" s="1"/>
  <c r="H208" i="67"/>
  <c r="Q65" i="60"/>
  <c r="P147" i="45"/>
  <c r="P146" i="67"/>
  <c r="L78" i="67"/>
  <c r="L91" i="67" s="1"/>
  <c r="L98" i="67" s="1"/>
  <c r="L112" i="67" s="1"/>
  <c r="L130" i="67" s="1"/>
  <c r="L140" i="67" s="1"/>
  <c r="L159" i="67" s="1"/>
  <c r="L180" i="67" s="1"/>
  <c r="L202" i="67" s="1"/>
  <c r="L213" i="67" s="1"/>
  <c r="L226" i="67"/>
  <c r="L300" i="67" s="1"/>
  <c r="L313" i="67" s="1"/>
  <c r="L320" i="67" s="1"/>
  <c r="L334" i="67" s="1"/>
  <c r="L352" i="67" s="1"/>
  <c r="L362" i="67" s="1"/>
  <c r="L381" i="67" s="1"/>
  <c r="L402" i="67" s="1"/>
  <c r="L424" i="67" s="1"/>
  <c r="L435" i="67" s="1"/>
  <c r="O195" i="45"/>
  <c r="O101" i="45"/>
  <c r="O226" i="45"/>
  <c r="B47" i="46"/>
  <c r="B50" i="46" s="1"/>
  <c r="B60" i="46" s="1"/>
  <c r="B64" i="46" s="1"/>
  <c r="B238" i="45"/>
  <c r="C12" i="47"/>
  <c r="C51" i="59"/>
  <c r="B221" i="67"/>
  <c r="N27" i="26"/>
  <c r="N35" i="26"/>
  <c r="U200" i="45"/>
  <c r="U190" i="45"/>
  <c r="U220" i="45" s="1"/>
  <c r="U230" i="45" s="1"/>
  <c r="U4" i="68"/>
  <c r="S226" i="67"/>
  <c r="S300" i="67" s="1"/>
  <c r="S313" i="67" s="1"/>
  <c r="S320" i="67" s="1"/>
  <c r="S334" i="67" s="1"/>
  <c r="S352" i="67" s="1"/>
  <c r="S362" i="67" s="1"/>
  <c r="S381" i="67" s="1"/>
  <c r="S402" i="67" s="1"/>
  <c r="S424" i="67" s="1"/>
  <c r="S435" i="67" s="1"/>
  <c r="S78" i="67"/>
  <c r="S91" i="67" s="1"/>
  <c r="S98" i="67" s="1"/>
  <c r="S112" i="67" s="1"/>
  <c r="S130" i="67" s="1"/>
  <c r="S140" i="67" s="1"/>
  <c r="S159" i="67" s="1"/>
  <c r="S180" i="67" s="1"/>
  <c r="S202" i="67" s="1"/>
  <c r="S213" i="67" s="1"/>
  <c r="F17" i="26"/>
  <c r="G47" i="46"/>
  <c r="H12" i="47"/>
  <c r="G221" i="67"/>
  <c r="G238" i="45"/>
  <c r="U193" i="45"/>
  <c r="U183" i="67"/>
  <c r="V71" i="60"/>
  <c r="V75" i="60" s="1"/>
  <c r="P65" i="60"/>
  <c r="O146" i="67"/>
  <c r="N196" i="45"/>
  <c r="O69" i="60"/>
  <c r="N186" i="67"/>
  <c r="N148" i="67"/>
  <c r="F115" i="67"/>
  <c r="F185" i="67"/>
  <c r="F65" i="67"/>
  <c r="F287" i="67" s="1"/>
  <c r="F208" i="67"/>
  <c r="O335" i="67"/>
  <c r="O403" i="67"/>
  <c r="O339" i="67" s="1"/>
  <c r="O321" i="67"/>
  <c r="O353" i="67" s="1"/>
  <c r="I238" i="45"/>
  <c r="J12" i="47"/>
  <c r="I47" i="46"/>
  <c r="I221" i="67"/>
  <c r="T201" i="45"/>
  <c r="T203" i="45" s="1"/>
  <c r="T222" i="45"/>
  <c r="U55" i="45"/>
  <c r="U213" i="45" s="1"/>
  <c r="U215" i="45" s="1"/>
  <c r="U135" i="45"/>
  <c r="U69" i="67"/>
  <c r="U197" i="67" s="1"/>
  <c r="U198" i="67" s="1"/>
  <c r="K403" i="67"/>
  <c r="K339" i="67" s="1"/>
  <c r="K321" i="67"/>
  <c r="K353" i="67" s="1"/>
  <c r="K335" i="67"/>
  <c r="G78" i="67"/>
  <c r="G91" i="67" s="1"/>
  <c r="G98" i="67" s="1"/>
  <c r="G112" i="67" s="1"/>
  <c r="G130" i="67" s="1"/>
  <c r="G140" i="67" s="1"/>
  <c r="G159" i="67" s="1"/>
  <c r="G180" i="67" s="1"/>
  <c r="G202" i="67" s="1"/>
  <c r="G213" i="67" s="1"/>
  <c r="G226" i="67"/>
  <c r="G300" i="67" s="1"/>
  <c r="G313" i="67" s="1"/>
  <c r="G320" i="67" s="1"/>
  <c r="G334" i="67" s="1"/>
  <c r="G352" i="67" s="1"/>
  <c r="G362" i="67" s="1"/>
  <c r="G381" i="67" s="1"/>
  <c r="G402" i="67" s="1"/>
  <c r="G424" i="67" s="1"/>
  <c r="G435" i="67" s="1"/>
  <c r="S174" i="45"/>
  <c r="S182" i="45"/>
  <c r="S125" i="45"/>
  <c r="S64" i="45"/>
  <c r="S77" i="45" s="1"/>
  <c r="S84" i="45" s="1"/>
  <c r="S98" i="45" s="1"/>
  <c r="S116" i="45" s="1"/>
  <c r="S141" i="45" s="1"/>
  <c r="S159" i="45" s="1"/>
  <c r="E200" i="45"/>
  <c r="E190" i="45"/>
  <c r="E220" i="45" s="1"/>
  <c r="E230" i="45" s="1"/>
  <c r="E4" i="68"/>
  <c r="C47" i="46"/>
  <c r="C50" i="46" s="1"/>
  <c r="C221" i="67"/>
  <c r="D51" i="59"/>
  <c r="C238" i="45"/>
  <c r="D12" i="47"/>
  <c r="O283" i="67"/>
  <c r="O437" i="67" s="1"/>
  <c r="O215" i="67"/>
  <c r="O147" i="45"/>
  <c r="N71" i="28"/>
  <c r="G12" i="47"/>
  <c r="F61" i="67"/>
  <c r="F29" i="67"/>
  <c r="F51" i="45"/>
  <c r="F232" i="45" s="1"/>
  <c r="F160" i="45"/>
  <c r="F160" i="67"/>
  <c r="C28" i="26"/>
  <c r="C30" i="26" s="1"/>
  <c r="C31" i="26" s="1"/>
  <c r="C36" i="26"/>
  <c r="C38" i="26" s="1"/>
  <c r="C40" i="26" s="1"/>
  <c r="C41" i="26" s="1"/>
  <c r="C42" i="26" s="1"/>
  <c r="C54" i="46"/>
  <c r="Q147" i="45"/>
  <c r="R148" i="67"/>
  <c r="I12" i="47"/>
  <c r="P148" i="67"/>
  <c r="I64" i="45"/>
  <c r="I77" i="45" s="1"/>
  <c r="I84" i="45" s="1"/>
  <c r="I98" i="45" s="1"/>
  <c r="I116" i="45" s="1"/>
  <c r="I141" i="45" s="1"/>
  <c r="I159" i="45" s="1"/>
  <c r="I182" i="45"/>
  <c r="I125" i="45"/>
  <c r="I174" i="45"/>
  <c r="O226" i="67"/>
  <c r="O300" i="67" s="1"/>
  <c r="O313" i="67" s="1"/>
  <c r="O320" i="67" s="1"/>
  <c r="O334" i="67" s="1"/>
  <c r="O352" i="67" s="1"/>
  <c r="O362" i="67" s="1"/>
  <c r="O381" i="67" s="1"/>
  <c r="O402" i="67" s="1"/>
  <c r="O424" i="67" s="1"/>
  <c r="O435" i="67" s="1"/>
  <c r="O78" i="67"/>
  <c r="O91" i="67" s="1"/>
  <c r="O98" i="67" s="1"/>
  <c r="O112" i="67" s="1"/>
  <c r="O130" i="67" s="1"/>
  <c r="O140" i="67" s="1"/>
  <c r="O159" i="67" s="1"/>
  <c r="O180" i="67" s="1"/>
  <c r="O202" i="67" s="1"/>
  <c r="O213" i="67" s="1"/>
  <c r="N200" i="45"/>
  <c r="N4" i="68"/>
  <c r="N190" i="45"/>
  <c r="N220" i="45" s="1"/>
  <c r="N230" i="45" s="1"/>
  <c r="M190" i="45"/>
  <c r="M220" i="45" s="1"/>
  <c r="M230" i="45" s="1"/>
  <c r="M200" i="45"/>
  <c r="M4" i="68"/>
  <c r="S27" i="26"/>
  <c r="S35" i="26"/>
  <c r="H9" i="58"/>
  <c r="H58" i="58" s="1"/>
  <c r="H9" i="59"/>
  <c r="P69" i="67"/>
  <c r="P197" i="67" s="1"/>
  <c r="P198" i="67" s="1"/>
  <c r="P55" i="45"/>
  <c r="P213" i="45" s="1"/>
  <c r="P215" i="45" s="1"/>
  <c r="P135" i="45"/>
  <c r="R71" i="28"/>
  <c r="F226" i="45"/>
  <c r="F195" i="45"/>
  <c r="F101" i="45"/>
  <c r="F148" i="67"/>
  <c r="F196" i="45"/>
  <c r="F186" i="67"/>
  <c r="E64" i="59"/>
  <c r="D53" i="46"/>
  <c r="F62" i="59"/>
  <c r="E51" i="59"/>
  <c r="D47" i="46"/>
  <c r="D50" i="46" s="1"/>
  <c r="E12" i="47"/>
  <c r="D238" i="45"/>
  <c r="D221" i="67"/>
  <c r="H195" i="45"/>
  <c r="H101" i="45"/>
  <c r="H226" i="45"/>
  <c r="I35" i="26"/>
  <c r="I27" i="26"/>
  <c r="K190" i="45"/>
  <c r="K220" i="45" s="1"/>
  <c r="K230" i="45" s="1"/>
  <c r="K200" i="45"/>
  <c r="K4" i="68"/>
  <c r="P35" i="26"/>
  <c r="P27" i="26"/>
  <c r="P125" i="45"/>
  <c r="P182" i="45"/>
  <c r="P174" i="45"/>
  <c r="P64" i="45"/>
  <c r="P77" i="45" s="1"/>
  <c r="P84" i="45" s="1"/>
  <c r="P98" i="45" s="1"/>
  <c r="P116" i="45" s="1"/>
  <c r="P141" i="45" s="1"/>
  <c r="P159" i="45" s="1"/>
  <c r="Q69" i="67"/>
  <c r="Q197" i="67" s="1"/>
  <c r="Q198" i="67" s="1"/>
  <c r="Q55" i="45"/>
  <c r="Q213" i="45" s="1"/>
  <c r="Q215" i="45" s="1"/>
  <c r="Q135" i="45"/>
  <c r="U403" i="67"/>
  <c r="U339" i="67" s="1"/>
  <c r="U321" i="67"/>
  <c r="U353" i="67" s="1"/>
  <c r="U335" i="67"/>
  <c r="L185" i="67"/>
  <c r="L115" i="67"/>
  <c r="L208" i="67"/>
  <c r="L65" i="67"/>
  <c r="L287" i="67" s="1"/>
  <c r="M69" i="67"/>
  <c r="M197" i="67" s="1"/>
  <c r="M198" i="67" s="1"/>
  <c r="M55" i="45"/>
  <c r="M213" i="45" s="1"/>
  <c r="M215" i="45" s="1"/>
  <c r="M135" i="45"/>
  <c r="R221" i="67"/>
  <c r="S51" i="59"/>
  <c r="R238" i="45"/>
  <c r="R47" i="46"/>
  <c r="R50" i="46" s="1"/>
  <c r="S12" i="47"/>
  <c r="U221" i="67"/>
  <c r="U238" i="45"/>
  <c r="U47" i="46"/>
  <c r="U50" i="46" s="1"/>
  <c r="V51" i="59"/>
  <c r="C78" i="67"/>
  <c r="C91" i="67" s="1"/>
  <c r="C98" i="67" s="1"/>
  <c r="C112" i="67" s="1"/>
  <c r="C130" i="67" s="1"/>
  <c r="C140" i="67" s="1"/>
  <c r="C159" i="67" s="1"/>
  <c r="C180" i="67" s="1"/>
  <c r="C202" i="67" s="1"/>
  <c r="C213" i="67" s="1"/>
  <c r="C226" i="67"/>
  <c r="C300" i="67" s="1"/>
  <c r="C313" i="67" s="1"/>
  <c r="C320" i="67" s="1"/>
  <c r="C334" i="67" s="1"/>
  <c r="C352" i="67" s="1"/>
  <c r="C362" i="67" s="1"/>
  <c r="C381" i="67" s="1"/>
  <c r="C402" i="67" s="1"/>
  <c r="C424" i="67" s="1"/>
  <c r="C435" i="67" s="1"/>
  <c r="Q12" i="47"/>
  <c r="Q51" i="59"/>
  <c r="P47" i="46"/>
  <c r="P50" i="46" s="1"/>
  <c r="P221" i="67"/>
  <c r="P238" i="45"/>
  <c r="U35" i="26"/>
  <c r="U27" i="26"/>
  <c r="D78" i="67"/>
  <c r="D91" i="67" s="1"/>
  <c r="D98" i="67" s="1"/>
  <c r="D112" i="67" s="1"/>
  <c r="D130" i="67" s="1"/>
  <c r="D140" i="67" s="1"/>
  <c r="D159" i="67" s="1"/>
  <c r="D180" i="67" s="1"/>
  <c r="D202" i="67" s="1"/>
  <c r="D213" i="67" s="1"/>
  <c r="D226" i="67"/>
  <c r="D300" i="67" s="1"/>
  <c r="D313" i="67" s="1"/>
  <c r="D320" i="67" s="1"/>
  <c r="D334" i="67" s="1"/>
  <c r="D352" i="67" s="1"/>
  <c r="D362" i="67" s="1"/>
  <c r="D381" i="67" s="1"/>
  <c r="D402" i="67" s="1"/>
  <c r="D424" i="67" s="1"/>
  <c r="D435" i="67" s="1"/>
  <c r="T251" i="67"/>
  <c r="T100" i="67"/>
  <c r="T133" i="67" s="1"/>
  <c r="C4" i="68"/>
  <c r="C200" i="45"/>
  <c r="C190" i="45"/>
  <c r="C220" i="45" s="1"/>
  <c r="C230" i="45" s="1"/>
  <c r="D200" i="45"/>
  <c r="D4" i="68"/>
  <c r="D190" i="45"/>
  <c r="D220" i="45" s="1"/>
  <c r="D230" i="45" s="1"/>
  <c r="G125" i="45"/>
  <c r="G64" i="45"/>
  <c r="G77" i="45" s="1"/>
  <c r="G84" i="45" s="1"/>
  <c r="G98" i="45" s="1"/>
  <c r="G116" i="45" s="1"/>
  <c r="G141" i="45" s="1"/>
  <c r="G159" i="45" s="1"/>
  <c r="G174" i="45"/>
  <c r="G182" i="45"/>
  <c r="P226" i="67"/>
  <c r="P300" i="67" s="1"/>
  <c r="P313" i="67" s="1"/>
  <c r="P320" i="67" s="1"/>
  <c r="P334" i="67" s="1"/>
  <c r="P352" i="67" s="1"/>
  <c r="P362" i="67" s="1"/>
  <c r="P381" i="67" s="1"/>
  <c r="P402" i="67" s="1"/>
  <c r="P424" i="67" s="1"/>
  <c r="P435" i="67" s="1"/>
  <c r="P78" i="67"/>
  <c r="P91" i="67" s="1"/>
  <c r="P98" i="67" s="1"/>
  <c r="P112" i="67" s="1"/>
  <c r="P130" i="67" s="1"/>
  <c r="P140" i="67" s="1"/>
  <c r="P159" i="67" s="1"/>
  <c r="P180" i="67" s="1"/>
  <c r="P202" i="67" s="1"/>
  <c r="P213" i="67" s="1"/>
  <c r="J9" i="62"/>
  <c r="I10" i="60"/>
  <c r="F78" i="58"/>
  <c r="F80" i="58" s="1"/>
  <c r="E32" i="46"/>
  <c r="E33" i="46" s="1"/>
  <c r="E34" i="46" s="1"/>
  <c r="G77" i="58"/>
  <c r="T65" i="60"/>
  <c r="S147" i="45"/>
  <c r="S146" i="67"/>
  <c r="O222" i="45"/>
  <c r="O201" i="45"/>
  <c r="O203" i="45" s="1"/>
  <c r="J148" i="67"/>
  <c r="J186" i="67"/>
  <c r="J196" i="45"/>
  <c r="J149" i="45"/>
  <c r="K69" i="60"/>
  <c r="R186" i="67"/>
  <c r="S69" i="60"/>
  <c r="R196" i="45"/>
  <c r="S335" i="67"/>
  <c r="S403" i="67"/>
  <c r="S339" i="67" s="1"/>
  <c r="S321" i="67"/>
  <c r="S353" i="67" s="1"/>
  <c r="R69" i="60"/>
  <c r="Q186" i="67"/>
  <c r="Q149" i="45"/>
  <c r="Q196" i="45"/>
  <c r="K147" i="45"/>
  <c r="K146" i="67"/>
  <c r="L65" i="60"/>
  <c r="H69" i="60"/>
  <c r="G186" i="67"/>
  <c r="G196" i="45"/>
  <c r="R51" i="59"/>
  <c r="Q221" i="67"/>
  <c r="R12" i="47"/>
  <c r="Q238" i="45"/>
  <c r="Q47" i="46"/>
  <c r="Q50" i="46" s="1"/>
  <c r="B124" i="45"/>
  <c r="B219" i="45"/>
  <c r="B76" i="45"/>
  <c r="B158" i="45"/>
  <c r="B3" i="68" s="1"/>
  <c r="B15" i="68" s="1"/>
  <c r="B212" i="67"/>
  <c r="B173" i="45"/>
  <c r="B18" i="51"/>
  <c r="C18" i="51" s="1"/>
  <c r="D18" i="51" s="1"/>
  <c r="E18" i="51" s="1"/>
  <c r="F18" i="51" s="1"/>
  <c r="G18" i="51" s="1"/>
  <c r="H18" i="51" s="1"/>
  <c r="I18" i="51" s="1"/>
  <c r="K18" i="51" s="1"/>
  <c r="L18" i="51" s="1"/>
  <c r="M18" i="51" s="1"/>
  <c r="N18" i="51" s="1"/>
  <c r="O18" i="51" s="1"/>
  <c r="P18" i="51" s="1"/>
  <c r="B140" i="45"/>
  <c r="B225" i="67"/>
  <c r="B351" i="67" s="1"/>
  <c r="B158" i="67"/>
  <c r="B179" i="67"/>
  <c r="B129" i="67"/>
  <c r="B229" i="45"/>
  <c r="B97" i="45"/>
  <c r="B181" i="45"/>
  <c r="B115" i="45"/>
  <c r="B199" i="45"/>
  <c r="B1" i="26"/>
  <c r="B26" i="26"/>
  <c r="B79" i="28"/>
  <c r="B34" i="26"/>
  <c r="B70" i="28"/>
  <c r="B77" i="67"/>
  <c r="B111" i="67"/>
  <c r="B139" i="67"/>
  <c r="B97" i="67"/>
  <c r="B90" i="67"/>
  <c r="D199" i="62"/>
  <c r="D53" i="62"/>
  <c r="D66" i="62"/>
  <c r="C2" i="46"/>
  <c r="C17" i="46" s="1"/>
  <c r="C41" i="46" s="1"/>
  <c r="C3" i="67"/>
  <c r="C8" i="26"/>
  <c r="D10" i="58"/>
  <c r="D59" i="58" s="1"/>
  <c r="C3" i="45"/>
  <c r="D10" i="59"/>
  <c r="D58" i="59" s="1"/>
  <c r="C2" i="47"/>
  <c r="C23" i="47" s="1"/>
  <c r="C34" i="47" s="1"/>
  <c r="C2" i="28"/>
  <c r="D56" i="60"/>
  <c r="A32" i="51"/>
  <c r="E15" i="62"/>
  <c r="E11" i="60"/>
  <c r="E24" i="62"/>
  <c r="F27" i="26"/>
  <c r="F35" i="26"/>
  <c r="F149" i="45" l="1"/>
  <c r="P41" i="28"/>
  <c r="P40" i="28"/>
  <c r="P33" i="28"/>
  <c r="P81" i="28" s="1"/>
  <c r="P38" i="28"/>
  <c r="P39" i="28" s="1"/>
  <c r="P74" i="28" s="1"/>
  <c r="O33" i="28"/>
  <c r="O81" i="28" s="1"/>
  <c r="O40" i="28"/>
  <c r="O72" i="28"/>
  <c r="O41" i="28"/>
  <c r="O38" i="28"/>
  <c r="O39" i="28" s="1"/>
  <c r="O74" i="28" s="1"/>
  <c r="S38" i="28"/>
  <c r="S39" i="28" s="1"/>
  <c r="S74" i="28" s="1"/>
  <c r="S72" i="28"/>
  <c r="S40" i="28"/>
  <c r="U33" i="28"/>
  <c r="U73" i="28" s="1"/>
  <c r="Q41" i="28"/>
  <c r="Q40" i="28"/>
  <c r="Q33" i="28"/>
  <c r="Q73" i="28" s="1"/>
  <c r="Q72" i="28"/>
  <c r="Q38" i="28"/>
  <c r="Q39" i="28" s="1"/>
  <c r="Q74" i="28" s="1"/>
  <c r="S33" i="28"/>
  <c r="S73" i="28" s="1"/>
  <c r="S41" i="28"/>
  <c r="F41" i="28"/>
  <c r="F38" i="28"/>
  <c r="F39" i="28" s="1"/>
  <c r="F74" i="28" s="1"/>
  <c r="F72" i="28"/>
  <c r="F40" i="28"/>
  <c r="F33" i="28"/>
  <c r="J177" i="45"/>
  <c r="J178" i="45"/>
  <c r="H148" i="67"/>
  <c r="H186" i="67"/>
  <c r="I69" i="60"/>
  <c r="H183" i="67" s="1"/>
  <c r="G177" i="45"/>
  <c r="G178" i="45" s="1"/>
  <c r="M177" i="45"/>
  <c r="M178" i="45" s="1"/>
  <c r="L335" i="67"/>
  <c r="L403" i="67"/>
  <c r="L339" i="67" s="1"/>
  <c r="L321" i="67"/>
  <c r="L353" i="67" s="1"/>
  <c r="I99" i="67"/>
  <c r="I131" i="67" s="1"/>
  <c r="I113" i="67"/>
  <c r="I229" i="67"/>
  <c r="I10" i="26"/>
  <c r="I127" i="45" s="1"/>
  <c r="I85" i="45"/>
  <c r="I117" i="45" s="1"/>
  <c r="I99" i="45"/>
  <c r="I177" i="45"/>
  <c r="I178" i="45" s="1"/>
  <c r="I13" i="28"/>
  <c r="J61" i="60"/>
  <c r="H196" i="45"/>
  <c r="H146" i="67"/>
  <c r="H147" i="45"/>
  <c r="G321" i="67"/>
  <c r="G353" i="67" s="1"/>
  <c r="G335" i="67"/>
  <c r="G403" i="67"/>
  <c r="G339" i="67" s="1"/>
  <c r="B229" i="67"/>
  <c r="B113" i="67"/>
  <c r="B99" i="67"/>
  <c r="B131" i="67" s="1"/>
  <c r="B99" i="45"/>
  <c r="B85" i="45"/>
  <c r="B117" i="45" s="1"/>
  <c r="B10" i="26"/>
  <c r="B127" i="45" s="1"/>
  <c r="V18" i="31"/>
  <c r="U18" i="31"/>
  <c r="O12" i="31"/>
  <c r="P12" i="31" s="1"/>
  <c r="W5" i="31"/>
  <c r="X5" i="31"/>
  <c r="Q7" i="31"/>
  <c r="R7" i="31" s="1"/>
  <c r="Q15" i="31"/>
  <c r="R15" i="31" s="1"/>
  <c r="T6" i="31"/>
  <c r="S6" i="31"/>
  <c r="W16" i="31"/>
  <c r="X16" i="31"/>
  <c r="R8" i="31"/>
  <c r="Q8" i="31"/>
  <c r="T21" i="51"/>
  <c r="C22" i="51"/>
  <c r="N20" i="28"/>
  <c r="N21" i="28" s="1"/>
  <c r="N23" i="28" s="1"/>
  <c r="N31" i="28"/>
  <c r="N61" i="60"/>
  <c r="M13" i="28"/>
  <c r="M21" i="28" s="1"/>
  <c r="M23" i="28" s="1"/>
  <c r="M38" i="28" s="1"/>
  <c r="M39" i="28" s="1"/>
  <c r="M74" i="28" s="1"/>
  <c r="B12" i="26"/>
  <c r="B13" i="26"/>
  <c r="V15" i="26"/>
  <c r="B86" i="28"/>
  <c r="B84" i="28" s="1"/>
  <c r="B87" i="28" s="1"/>
  <c r="P321" i="67"/>
  <c r="P353" i="67" s="1"/>
  <c r="P335" i="67"/>
  <c r="P403" i="67"/>
  <c r="P339" i="67" s="1"/>
  <c r="C177" i="45"/>
  <c r="C178" i="45" s="1"/>
  <c r="E194" i="45"/>
  <c r="E162" i="45"/>
  <c r="E163" i="45" s="1"/>
  <c r="E168" i="45"/>
  <c r="E167" i="45"/>
  <c r="E109" i="45" s="1"/>
  <c r="E166" i="45"/>
  <c r="E105" i="45" s="1"/>
  <c r="E5" i="68"/>
  <c r="E107" i="45"/>
  <c r="U21" i="51"/>
  <c r="E22" i="51"/>
  <c r="H403" i="67"/>
  <c r="H339" i="67" s="1"/>
  <c r="H335" i="67"/>
  <c r="H321" i="67"/>
  <c r="H353" i="67" s="1"/>
  <c r="T31" i="28"/>
  <c r="T20" i="28"/>
  <c r="T21" i="28" s="1"/>
  <c r="T23" i="28" s="1"/>
  <c r="T193" i="45"/>
  <c r="T183" i="67"/>
  <c r="U71" i="60"/>
  <c r="U75" i="60" s="1"/>
  <c r="U38" i="28"/>
  <c r="U39" i="28" s="1"/>
  <c r="U74" i="28" s="1"/>
  <c r="U41" i="28"/>
  <c r="U40" i="28"/>
  <c r="N17" i="26"/>
  <c r="S29" i="67"/>
  <c r="S160" i="67"/>
  <c r="S51" i="45"/>
  <c r="S232" i="45" s="1"/>
  <c r="S160" i="45"/>
  <c r="S61" i="67"/>
  <c r="W17" i="31"/>
  <c r="X17" i="31"/>
  <c r="M99" i="67"/>
  <c r="M131" i="67" s="1"/>
  <c r="M113" i="67"/>
  <c r="M229" i="67"/>
  <c r="B3" i="26"/>
  <c r="N101" i="45"/>
  <c r="N226" i="45"/>
  <c r="N195" i="45"/>
  <c r="S135" i="45"/>
  <c r="S69" i="67"/>
  <c r="S197" i="67" s="1"/>
  <c r="S198" i="67" s="1"/>
  <c r="S55" i="45"/>
  <c r="S213" i="45" s="1"/>
  <c r="S215" i="45" s="1"/>
  <c r="L27" i="51"/>
  <c r="X26" i="51"/>
  <c r="Q21" i="51"/>
  <c r="O22" i="51"/>
  <c r="G23" i="51"/>
  <c r="V22" i="51"/>
  <c r="E100" i="67"/>
  <c r="E133" i="67" s="1"/>
  <c r="E251" i="67"/>
  <c r="O4" i="31"/>
  <c r="P4" i="31" s="1"/>
  <c r="N19" i="31"/>
  <c r="T131" i="45"/>
  <c r="S11" i="31"/>
  <c r="T11" i="31" s="1"/>
  <c r="S14" i="31"/>
  <c r="T14" i="31"/>
  <c r="E71" i="60"/>
  <c r="E75" i="60" s="1"/>
  <c r="D193" i="45"/>
  <c r="D183" i="67"/>
  <c r="I23" i="51"/>
  <c r="W22" i="51"/>
  <c r="M71" i="28"/>
  <c r="N65" i="67"/>
  <c r="N287" i="67" s="1"/>
  <c r="N208" i="67"/>
  <c r="N185" i="67"/>
  <c r="N115" i="67"/>
  <c r="E201" i="45"/>
  <c r="E203" i="45" s="1"/>
  <c r="E222" i="45"/>
  <c r="M19" i="31"/>
  <c r="D24" i="31" s="1"/>
  <c r="K86" i="28"/>
  <c r="D73" i="28"/>
  <c r="D81" i="28"/>
  <c r="N131" i="45"/>
  <c r="S185" i="67"/>
  <c r="S115" i="67"/>
  <c r="S208" i="67"/>
  <c r="S65" i="67"/>
  <c r="S287" i="67" s="1"/>
  <c r="AC3" i="31"/>
  <c r="K23" i="31"/>
  <c r="AB3" i="31"/>
  <c r="M85" i="45"/>
  <c r="M117" i="45" s="1"/>
  <c r="M10" i="26"/>
  <c r="M127" i="45" s="1"/>
  <c r="M99" i="45"/>
  <c r="O13" i="31"/>
  <c r="P13" i="31" s="1"/>
  <c r="N61" i="67"/>
  <c r="N160" i="67"/>
  <c r="N51" i="45"/>
  <c r="N232" i="45" s="1"/>
  <c r="N160" i="45"/>
  <c r="N29" i="67"/>
  <c r="Q9" i="31"/>
  <c r="R9" i="31" s="1"/>
  <c r="E12" i="26"/>
  <c r="E13" i="26"/>
  <c r="E86" i="28"/>
  <c r="E84" i="28" s="1"/>
  <c r="E87" i="28" s="1"/>
  <c r="E215" i="67"/>
  <c r="E283" i="67"/>
  <c r="E437" i="67" s="1"/>
  <c r="E184" i="67"/>
  <c r="E162" i="67"/>
  <c r="E163" i="67" s="1"/>
  <c r="E168" i="67"/>
  <c r="E121" i="67"/>
  <c r="E167" i="67"/>
  <c r="E123" i="67" s="1"/>
  <c r="E166" i="67"/>
  <c r="E119" i="67" s="1"/>
  <c r="D36" i="55"/>
  <c r="C36" i="55" s="1"/>
  <c r="C33" i="55"/>
  <c r="T17" i="26"/>
  <c r="C91" i="60"/>
  <c r="B25" i="67"/>
  <c r="B25" i="45"/>
  <c r="B80" i="28"/>
  <c r="S195" i="45"/>
  <c r="S101" i="45"/>
  <c r="S226" i="45"/>
  <c r="W10" i="31"/>
  <c r="X10" i="31" s="1"/>
  <c r="B423" i="67"/>
  <c r="T184" i="67"/>
  <c r="T166" i="67"/>
  <c r="T119" i="67" s="1"/>
  <c r="T162" i="67"/>
  <c r="T163" i="67" s="1"/>
  <c r="T167" i="67"/>
  <c r="T123" i="67" s="1"/>
  <c r="T168" i="67"/>
  <c r="T121" i="67"/>
  <c r="M251" i="67"/>
  <c r="M100" i="67"/>
  <c r="M133" i="67" s="1"/>
  <c r="F66" i="62"/>
  <c r="F199" i="62"/>
  <c r="F53" i="62"/>
  <c r="C60" i="46"/>
  <c r="C64" i="46" s="1"/>
  <c r="O107" i="45"/>
  <c r="O5" i="68"/>
  <c r="O167" i="45"/>
  <c r="O109" i="45" s="1"/>
  <c r="O194" i="45"/>
  <c r="O168" i="45"/>
  <c r="O166" i="45"/>
  <c r="O105" i="45" s="1"/>
  <c r="O162" i="45"/>
  <c r="O163" i="45" s="1"/>
  <c r="T5" i="68"/>
  <c r="T162" i="45"/>
  <c r="T163" i="45" s="1"/>
  <c r="T166" i="45"/>
  <c r="T105" i="45" s="1"/>
  <c r="T107" i="45"/>
  <c r="T168" i="45"/>
  <c r="T167" i="45"/>
  <c r="T109" i="45" s="1"/>
  <c r="T194" i="45"/>
  <c r="M215" i="67"/>
  <c r="M283" i="67"/>
  <c r="M437" i="67" s="1"/>
  <c r="E61" i="46"/>
  <c r="E63" i="46" s="1"/>
  <c r="F87" i="59"/>
  <c r="E12" i="46"/>
  <c r="G85" i="59"/>
  <c r="D71" i="60"/>
  <c r="D75" i="60" s="1"/>
  <c r="C193" i="45"/>
  <c r="C183" i="67"/>
  <c r="O167" i="67"/>
  <c r="O123" i="67" s="1"/>
  <c r="O121" i="67"/>
  <c r="O184" i="67"/>
  <c r="O162" i="67"/>
  <c r="O163" i="67" s="1"/>
  <c r="O168" i="67"/>
  <c r="O166" i="67"/>
  <c r="O119" i="67" s="1"/>
  <c r="M201" i="45"/>
  <c r="M203" i="45" s="1"/>
  <c r="M222" i="45"/>
  <c r="M166" i="67"/>
  <c r="M119" i="67" s="1"/>
  <c r="M184" i="67"/>
  <c r="M162" i="67"/>
  <c r="M163" i="67" s="1"/>
  <c r="M168" i="67"/>
  <c r="M167" i="67"/>
  <c r="M123" i="67" s="1"/>
  <c r="M121" i="67"/>
  <c r="F69" i="60"/>
  <c r="E186" i="67"/>
  <c r="E149" i="45"/>
  <c r="E196" i="45"/>
  <c r="E148" i="67"/>
  <c r="O100" i="67"/>
  <c r="O133" i="67" s="1"/>
  <c r="O251" i="67"/>
  <c r="T283" i="67"/>
  <c r="T437" i="67" s="1"/>
  <c r="T215" i="67"/>
  <c r="M162" i="45"/>
  <c r="M163" i="45" s="1"/>
  <c r="M194" i="45"/>
  <c r="M5" i="68"/>
  <c r="M107" i="45"/>
  <c r="M166" i="45"/>
  <c r="M105" i="45" s="1"/>
  <c r="M168" i="45"/>
  <c r="M167" i="45"/>
  <c r="M109" i="45" s="1"/>
  <c r="T4" i="68"/>
  <c r="T190" i="45"/>
  <c r="T220" i="45" s="1"/>
  <c r="T230" i="45" s="1"/>
  <c r="T200" i="45"/>
  <c r="J10" i="60"/>
  <c r="K9" i="62"/>
  <c r="P195" i="45"/>
  <c r="P226" i="45"/>
  <c r="P101" i="45"/>
  <c r="D185" i="67"/>
  <c r="D65" i="67"/>
  <c r="D287" i="67" s="1"/>
  <c r="D208" i="67"/>
  <c r="D115" i="67"/>
  <c r="F107" i="45"/>
  <c r="F166" i="45"/>
  <c r="F105" i="45" s="1"/>
  <c r="F194" i="45"/>
  <c r="F167" i="45"/>
  <c r="F109" i="45" s="1"/>
  <c r="F168" i="45"/>
  <c r="F5" i="68"/>
  <c r="F162" i="45"/>
  <c r="F163" i="45" s="1"/>
  <c r="F215" i="67"/>
  <c r="F283" i="67"/>
  <c r="F437" i="67" s="1"/>
  <c r="O204" i="67"/>
  <c r="O189" i="67"/>
  <c r="O190" i="67" s="1"/>
  <c r="C208" i="67"/>
  <c r="C65" i="67"/>
  <c r="C287" i="67" s="1"/>
  <c r="C115" i="67"/>
  <c r="C185" i="67"/>
  <c r="N193" i="45"/>
  <c r="O71" i="60"/>
  <c r="O75" i="60" s="1"/>
  <c r="N183" i="67"/>
  <c r="G195" i="45"/>
  <c r="G101" i="45"/>
  <c r="G226" i="45"/>
  <c r="L69" i="60"/>
  <c r="K196" i="45"/>
  <c r="K186" i="67"/>
  <c r="K149" i="45"/>
  <c r="K148" i="67"/>
  <c r="E31" i="67"/>
  <c r="E253" i="67" s="1"/>
  <c r="R101" i="45"/>
  <c r="R226" i="45"/>
  <c r="R195" i="45"/>
  <c r="D195" i="45"/>
  <c r="D101" i="45"/>
  <c r="D226" i="45"/>
  <c r="R41" i="28"/>
  <c r="R33" i="28"/>
  <c r="R40" i="28"/>
  <c r="R72" i="28"/>
  <c r="C108" i="67"/>
  <c r="C32" i="26"/>
  <c r="C94" i="45"/>
  <c r="F201" i="45"/>
  <c r="F203" i="45" s="1"/>
  <c r="F222" i="45"/>
  <c r="O426" i="67"/>
  <c r="O411" i="67"/>
  <c r="O412" i="67" s="1"/>
  <c r="G115" i="67"/>
  <c r="G208" i="67"/>
  <c r="G185" i="67"/>
  <c r="G65" i="67"/>
  <c r="G287" i="67" s="1"/>
  <c r="Q195" i="45"/>
  <c r="Q226" i="45"/>
  <c r="Q101" i="45"/>
  <c r="H193" i="45"/>
  <c r="I71" i="60"/>
  <c r="I75" i="60" s="1"/>
  <c r="U65" i="67"/>
  <c r="U287" i="67" s="1"/>
  <c r="U185" i="67"/>
  <c r="U208" i="67"/>
  <c r="U115" i="67"/>
  <c r="R61" i="67"/>
  <c r="R29" i="67"/>
  <c r="R160" i="45"/>
  <c r="R160" i="67"/>
  <c r="R51" i="45"/>
  <c r="R232" i="45" s="1"/>
  <c r="P4" i="68"/>
  <c r="P190" i="45"/>
  <c r="P220" i="45" s="1"/>
  <c r="P230" i="45" s="1"/>
  <c r="P200" i="45"/>
  <c r="F64" i="59"/>
  <c r="E53" i="46"/>
  <c r="G62" i="59"/>
  <c r="F100" i="67"/>
  <c r="F133" i="67" s="1"/>
  <c r="F251" i="67"/>
  <c r="C101" i="45"/>
  <c r="C195" i="45"/>
  <c r="C226" i="45"/>
  <c r="S200" i="45"/>
  <c r="S4" i="68"/>
  <c r="S190" i="45"/>
  <c r="S220" i="45" s="1"/>
  <c r="S230" i="45" s="1"/>
  <c r="F135" i="45"/>
  <c r="F69" i="67"/>
  <c r="F197" i="67" s="1"/>
  <c r="F198" i="67" s="1"/>
  <c r="F55" i="45"/>
  <c r="F213" i="45" s="1"/>
  <c r="F215" i="45" s="1"/>
  <c r="B226" i="45"/>
  <c r="B101" i="45"/>
  <c r="B195" i="45"/>
  <c r="L193" i="45"/>
  <c r="L183" i="67"/>
  <c r="M71" i="60"/>
  <c r="M75" i="60" s="1"/>
  <c r="Q115" i="67"/>
  <c r="Q65" i="67"/>
  <c r="Q287" i="67" s="1"/>
  <c r="Q185" i="67"/>
  <c r="Q208" i="67"/>
  <c r="G193" i="45"/>
  <c r="G183" i="67"/>
  <c r="H71" i="60"/>
  <c r="H75" i="60" s="1"/>
  <c r="D160" i="67"/>
  <c r="D29" i="67"/>
  <c r="D160" i="45"/>
  <c r="D61" i="67"/>
  <c r="E93" i="59"/>
  <c r="D51" i="45"/>
  <c r="D232" i="45" s="1"/>
  <c r="D36" i="26"/>
  <c r="D38" i="26" s="1"/>
  <c r="D40" i="26" s="1"/>
  <c r="D41" i="26" s="1"/>
  <c r="D42" i="26" s="1"/>
  <c r="D54" i="46"/>
  <c r="D28" i="26"/>
  <c r="D30" i="26" s="1"/>
  <c r="D31" i="26" s="1"/>
  <c r="I4" i="68"/>
  <c r="I200" i="45"/>
  <c r="I190" i="45"/>
  <c r="I220" i="45" s="1"/>
  <c r="I230" i="45" s="1"/>
  <c r="I208" i="67"/>
  <c r="I65" i="67"/>
  <c r="I287" i="67" s="1"/>
  <c r="I115" i="67"/>
  <c r="I185" i="67"/>
  <c r="I101" i="45"/>
  <c r="I226" i="45"/>
  <c r="I195" i="45"/>
  <c r="U25" i="67"/>
  <c r="U25" i="45"/>
  <c r="U80" i="28"/>
  <c r="V91" i="60"/>
  <c r="B160" i="45"/>
  <c r="B160" i="67"/>
  <c r="B61" i="67"/>
  <c r="B29" i="67"/>
  <c r="B51" i="45"/>
  <c r="B232" i="45" s="1"/>
  <c r="C93" i="59"/>
  <c r="Q51" i="45"/>
  <c r="Q232" i="45" s="1"/>
  <c r="Q61" i="67"/>
  <c r="Q160" i="45"/>
  <c r="Q29" i="67"/>
  <c r="Q160" i="67"/>
  <c r="Q183" i="67"/>
  <c r="R71" i="60"/>
  <c r="R75" i="60" s="1"/>
  <c r="Q193" i="45"/>
  <c r="G190" i="45"/>
  <c r="G220" i="45" s="1"/>
  <c r="G230" i="45" s="1"/>
  <c r="G4" i="68"/>
  <c r="G200" i="45"/>
  <c r="P185" i="67"/>
  <c r="P208" i="67"/>
  <c r="P115" i="67"/>
  <c r="P65" i="67"/>
  <c r="P287" i="67" s="1"/>
  <c r="U195" i="45"/>
  <c r="U101" i="45"/>
  <c r="U226" i="45"/>
  <c r="F183" i="67"/>
  <c r="F193" i="45"/>
  <c r="G71" i="60"/>
  <c r="G75" i="60" s="1"/>
  <c r="S186" i="67"/>
  <c r="S196" i="45"/>
  <c r="S148" i="67"/>
  <c r="T69" i="60"/>
  <c r="S149" i="45"/>
  <c r="Q18" i="51"/>
  <c r="R18" i="51" s="1"/>
  <c r="S18" i="51" s="1"/>
  <c r="T18" i="51" s="1"/>
  <c r="U18" i="51" s="1"/>
  <c r="V18" i="51" s="1"/>
  <c r="W18" i="51" s="1"/>
  <c r="X18" i="51" s="1"/>
  <c r="R193" i="45"/>
  <c r="R183" i="67"/>
  <c r="S71" i="60"/>
  <c r="S75" i="60" s="1"/>
  <c r="K71" i="60"/>
  <c r="K75" i="60" s="1"/>
  <c r="J183" i="67"/>
  <c r="J193" i="45"/>
  <c r="H77" i="58"/>
  <c r="G78" i="58"/>
  <c r="G80" i="58" s="1"/>
  <c r="F32" i="46"/>
  <c r="F33" i="46" s="1"/>
  <c r="F34" i="46" s="1"/>
  <c r="I9" i="58"/>
  <c r="I58" i="58" s="1"/>
  <c r="I9" i="59"/>
  <c r="T404" i="67"/>
  <c r="T322" i="67"/>
  <c r="T355" i="67" s="1"/>
  <c r="P29" i="67"/>
  <c r="P61" i="67"/>
  <c r="P160" i="67"/>
  <c r="P51" i="45"/>
  <c r="P232" i="45" s="1"/>
  <c r="P160" i="45"/>
  <c r="U29" i="67"/>
  <c r="U160" i="45"/>
  <c r="U160" i="67"/>
  <c r="U61" i="67"/>
  <c r="U51" i="45"/>
  <c r="U232" i="45" s="1"/>
  <c r="R65" i="67"/>
  <c r="R287" i="67" s="1"/>
  <c r="R208" i="67"/>
  <c r="R185" i="67"/>
  <c r="R115" i="67"/>
  <c r="D60" i="46"/>
  <c r="D64" i="46" s="1"/>
  <c r="F166" i="67"/>
  <c r="F119" i="67" s="1"/>
  <c r="F162" i="67"/>
  <c r="F163" i="67" s="1"/>
  <c r="F167" i="67"/>
  <c r="F123" i="67" s="1"/>
  <c r="F184" i="67"/>
  <c r="F121" i="67"/>
  <c r="F168" i="67"/>
  <c r="C160" i="45"/>
  <c r="C61" i="67"/>
  <c r="D93" i="59"/>
  <c r="C160" i="67"/>
  <c r="C51" i="45"/>
  <c r="C232" i="45" s="1"/>
  <c r="C29" i="67"/>
  <c r="O196" i="45"/>
  <c r="O186" i="67"/>
  <c r="O149" i="45"/>
  <c r="O148" i="67"/>
  <c r="P69" i="60"/>
  <c r="B208" i="67"/>
  <c r="B115" i="67"/>
  <c r="B185" i="67"/>
  <c r="B65" i="67"/>
  <c r="B287" i="67" s="1"/>
  <c r="P186" i="67"/>
  <c r="Q69" i="60"/>
  <c r="P196" i="45"/>
  <c r="P149" i="45"/>
  <c r="P73" i="28"/>
  <c r="B434" i="67"/>
  <c r="B299" i="67"/>
  <c r="B380" i="67"/>
  <c r="B312" i="67"/>
  <c r="B361" i="67"/>
  <c r="B319" i="67"/>
  <c r="B333" i="67"/>
  <c r="B401" i="67"/>
  <c r="C34" i="26"/>
  <c r="C1" i="26"/>
  <c r="C79" i="28"/>
  <c r="C26" i="26"/>
  <c r="E53" i="62"/>
  <c r="E66" i="62"/>
  <c r="E199" i="62"/>
  <c r="C9" i="51"/>
  <c r="C2" i="51" s="1"/>
  <c r="B32" i="51"/>
  <c r="C32" i="51" s="1"/>
  <c r="D32" i="51" s="1"/>
  <c r="E32" i="51" s="1"/>
  <c r="F32" i="51" s="1"/>
  <c r="G32" i="51" s="1"/>
  <c r="H32" i="51" s="1"/>
  <c r="I32" i="51" s="1"/>
  <c r="K32" i="51" s="1"/>
  <c r="L32" i="51" s="1"/>
  <c r="M32" i="51" s="1"/>
  <c r="N32" i="51" s="1"/>
  <c r="O32" i="51" s="1"/>
  <c r="C158" i="67"/>
  <c r="C139" i="67"/>
  <c r="C111" i="67"/>
  <c r="C212" i="67"/>
  <c r="C225" i="67"/>
  <c r="C201" i="67"/>
  <c r="C97" i="67"/>
  <c r="C77" i="67"/>
  <c r="C90" i="67"/>
  <c r="C129" i="67"/>
  <c r="C179" i="67"/>
  <c r="F11" i="60"/>
  <c r="C140" i="45"/>
  <c r="C97" i="45"/>
  <c r="C83" i="45"/>
  <c r="C115" i="45"/>
  <c r="C181" i="45"/>
  <c r="C63" i="45"/>
  <c r="C189" i="45"/>
  <c r="C229" i="45"/>
  <c r="C199" i="45"/>
  <c r="C124" i="45"/>
  <c r="C76" i="45"/>
  <c r="C158" i="45"/>
  <c r="C3" i="68" s="1"/>
  <c r="C15" i="68" s="1"/>
  <c r="C219" i="45"/>
  <c r="C173" i="45"/>
  <c r="E56" i="60"/>
  <c r="E10" i="59"/>
  <c r="E58" i="59" s="1"/>
  <c r="E10" i="58"/>
  <c r="E59" i="58" s="1"/>
  <c r="A46" i="51"/>
  <c r="D2" i="46"/>
  <c r="D17" i="46" s="1"/>
  <c r="D41" i="46" s="1"/>
  <c r="D2" i="28"/>
  <c r="D8" i="26"/>
  <c r="D3" i="45"/>
  <c r="D2" i="47"/>
  <c r="D23" i="47" s="1"/>
  <c r="D34" i="47" s="1"/>
  <c r="D3" i="67"/>
  <c r="C37" i="28"/>
  <c r="C70" i="28"/>
  <c r="F93" i="59" l="1"/>
  <c r="O73" i="28"/>
  <c r="U81" i="28"/>
  <c r="U82" i="28" s="1"/>
  <c r="U83" i="28" s="1"/>
  <c r="U85" i="28" s="1"/>
  <c r="U88" i="28" s="1"/>
  <c r="U75" i="28" s="1"/>
  <c r="S81" i="28"/>
  <c r="Q81" i="28"/>
  <c r="Q82" i="28" s="1"/>
  <c r="Q83" i="28" s="1"/>
  <c r="F81" i="28"/>
  <c r="F73" i="28"/>
  <c r="N41" i="28"/>
  <c r="N33" i="28"/>
  <c r="N73" i="28" s="1"/>
  <c r="N40" i="28"/>
  <c r="N72" i="28"/>
  <c r="N38" i="28"/>
  <c r="N39" i="28" s="1"/>
  <c r="N74" i="28" s="1"/>
  <c r="I146" i="67"/>
  <c r="J65" i="60"/>
  <c r="I147" i="45"/>
  <c r="I335" i="67"/>
  <c r="I403" i="67"/>
  <c r="I339" i="67" s="1"/>
  <c r="I321" i="67"/>
  <c r="I353" i="67" s="1"/>
  <c r="B335" i="67"/>
  <c r="B403" i="67"/>
  <c r="B339" i="67" s="1"/>
  <c r="B321" i="67"/>
  <c r="B353" i="67" s="1"/>
  <c r="S15" i="31"/>
  <c r="T15" i="31" s="1"/>
  <c r="Q12" i="31"/>
  <c r="R12" i="31" s="1"/>
  <c r="S7" i="31"/>
  <c r="T7" i="31"/>
  <c r="S9" i="31"/>
  <c r="T9" i="31" s="1"/>
  <c r="Z10" i="31"/>
  <c r="Y10" i="31"/>
  <c r="Q13" i="31"/>
  <c r="R13" i="31"/>
  <c r="V11" i="31"/>
  <c r="U11" i="31"/>
  <c r="P19" i="31"/>
  <c r="Q4" i="31"/>
  <c r="Q19" i="31" s="1"/>
  <c r="F24" i="31" s="1"/>
  <c r="B247" i="67"/>
  <c r="B354" i="67" s="1"/>
  <c r="B132" i="67"/>
  <c r="E30" i="28"/>
  <c r="E16" i="26"/>
  <c r="E134" i="45"/>
  <c r="E130" i="45" s="1"/>
  <c r="N251" i="67"/>
  <c r="N100" i="67"/>
  <c r="N133" i="67" s="1"/>
  <c r="N283" i="67"/>
  <c r="N437" i="67" s="1"/>
  <c r="N215" i="67"/>
  <c r="AE3" i="31"/>
  <c r="AD3" i="31"/>
  <c r="L23" i="31"/>
  <c r="I24" i="51"/>
  <c r="W23" i="51"/>
  <c r="G24" i="51"/>
  <c r="V23" i="51"/>
  <c r="L28" i="51"/>
  <c r="X27" i="51"/>
  <c r="S168" i="45"/>
  <c r="S166" i="45"/>
  <c r="S105" i="45" s="1"/>
  <c r="S162" i="45"/>
  <c r="S163" i="45" s="1"/>
  <c r="S107" i="45"/>
  <c r="S194" i="45"/>
  <c r="S167" i="45"/>
  <c r="S109" i="45" s="1"/>
  <c r="S5" i="68"/>
  <c r="N55" i="45"/>
  <c r="N213" i="45" s="1"/>
  <c r="N215" i="45" s="1"/>
  <c r="N69" i="67"/>
  <c r="N197" i="67" s="1"/>
  <c r="N198" i="67" s="1"/>
  <c r="N135" i="45"/>
  <c r="U91" i="60"/>
  <c r="T25" i="67"/>
  <c r="T80" i="28"/>
  <c r="T25" i="45"/>
  <c r="T38" i="28"/>
  <c r="T39" i="28" s="1"/>
  <c r="T74" i="28" s="1"/>
  <c r="T41" i="28"/>
  <c r="T40" i="28"/>
  <c r="M147" i="45"/>
  <c r="M146" i="67"/>
  <c r="N65" i="60"/>
  <c r="W18" i="31"/>
  <c r="X18" i="31"/>
  <c r="B4" i="47"/>
  <c r="B9" i="47" s="1"/>
  <c r="B21" i="47" s="1"/>
  <c r="C95" i="60"/>
  <c r="B29" i="45"/>
  <c r="E411" i="67"/>
  <c r="E412" i="67" s="1"/>
  <c r="E426" i="67"/>
  <c r="E19" i="26"/>
  <c r="E137" i="45" s="1"/>
  <c r="E14" i="26"/>
  <c r="E129" i="45"/>
  <c r="N166" i="45"/>
  <c r="N105" i="45" s="1"/>
  <c r="N162" i="45"/>
  <c r="N163" i="45" s="1"/>
  <c r="N168" i="45"/>
  <c r="N5" i="68"/>
  <c r="N167" i="45"/>
  <c r="N109" i="45" s="1"/>
  <c r="N107" i="45"/>
  <c r="N194" i="45"/>
  <c r="E322" i="67"/>
  <c r="E355" i="67" s="1"/>
  <c r="E404" i="67"/>
  <c r="Q22" i="51"/>
  <c r="O23" i="51"/>
  <c r="Y17" i="31"/>
  <c r="Z17" i="31"/>
  <c r="S222" i="45"/>
  <c r="S201" i="45"/>
  <c r="S203" i="45" s="1"/>
  <c r="E12" i="68"/>
  <c r="E7" i="68"/>
  <c r="E8" i="68"/>
  <c r="E10" i="68" s="1"/>
  <c r="E165" i="45"/>
  <c r="E111" i="45" s="1"/>
  <c r="E53" i="45"/>
  <c r="B134" i="45"/>
  <c r="B130" i="45" s="1"/>
  <c r="B16" i="26"/>
  <c r="B30" i="28"/>
  <c r="T8" i="31"/>
  <c r="S8" i="31"/>
  <c r="U6" i="31"/>
  <c r="V6" i="31"/>
  <c r="E204" i="67"/>
  <c r="E189" i="67"/>
  <c r="E190" i="67" s="1"/>
  <c r="N201" i="45"/>
  <c r="N203" i="45" s="1"/>
  <c r="N222" i="45"/>
  <c r="D25" i="45"/>
  <c r="D80" i="28"/>
  <c r="D82" i="28" s="1"/>
  <c r="D83" i="28" s="1"/>
  <c r="E91" i="60"/>
  <c r="D25" i="67"/>
  <c r="M403" i="67"/>
  <c r="M339" i="67" s="1"/>
  <c r="M321" i="67"/>
  <c r="M353" i="67" s="1"/>
  <c r="M335" i="67"/>
  <c r="S167" i="67"/>
  <c r="S123" i="67" s="1"/>
  <c r="S162" i="67"/>
  <c r="S163" i="67" s="1"/>
  <c r="S121" i="67"/>
  <c r="S184" i="67"/>
  <c r="S168" i="67"/>
  <c r="S166" i="67"/>
  <c r="S119" i="67" s="1"/>
  <c r="U22" i="51"/>
  <c r="E23" i="51"/>
  <c r="B129" i="45"/>
  <c r="B131" i="45" s="1"/>
  <c r="B19" i="26"/>
  <c r="B137" i="45" s="1"/>
  <c r="B14" i="26"/>
  <c r="T22" i="51"/>
  <c r="C23" i="51"/>
  <c r="Y16" i="31"/>
  <c r="Z16" i="31"/>
  <c r="Z5" i="31"/>
  <c r="Y5" i="31"/>
  <c r="B118" i="45"/>
  <c r="B27" i="45"/>
  <c r="T135" i="45"/>
  <c r="T69" i="67"/>
  <c r="T197" i="67" s="1"/>
  <c r="T198" i="67" s="1"/>
  <c r="T55" i="45"/>
  <c r="T213" i="45" s="1"/>
  <c r="T215" i="45" s="1"/>
  <c r="E165" i="67"/>
  <c r="E125" i="67" s="1"/>
  <c r="E67" i="67"/>
  <c r="E289" i="67" s="1"/>
  <c r="N167" i="67"/>
  <c r="N123" i="67" s="1"/>
  <c r="N162" i="67"/>
  <c r="N163" i="67" s="1"/>
  <c r="N184" i="67"/>
  <c r="N168" i="67"/>
  <c r="N166" i="67"/>
  <c r="N119" i="67" s="1"/>
  <c r="N121" i="67"/>
  <c r="U14" i="31"/>
  <c r="V14" i="31"/>
  <c r="O19" i="31"/>
  <c r="E24" i="31" s="1"/>
  <c r="S215" i="67"/>
  <c r="S283" i="67"/>
  <c r="S437" i="67" s="1"/>
  <c r="S100" i="67"/>
  <c r="S133" i="67" s="1"/>
  <c r="S251" i="67"/>
  <c r="T72" i="28"/>
  <c r="T33" i="28"/>
  <c r="M41" i="28"/>
  <c r="M40" i="28"/>
  <c r="M33" i="28"/>
  <c r="M72" i="28"/>
  <c r="N21" i="51"/>
  <c r="O404" i="67"/>
  <c r="O322" i="67"/>
  <c r="O355" i="67" s="1"/>
  <c r="E182" i="67"/>
  <c r="E181" i="67"/>
  <c r="E117" i="67" s="1"/>
  <c r="E27" i="67"/>
  <c r="E249" i="67" s="1"/>
  <c r="E191" i="45"/>
  <c r="E103" i="45" s="1"/>
  <c r="O12" i="68"/>
  <c r="O7" i="68"/>
  <c r="M53" i="45"/>
  <c r="M8" i="68"/>
  <c r="M10" i="68" s="1"/>
  <c r="M165" i="45"/>
  <c r="M111" i="45" s="1"/>
  <c r="O165" i="67"/>
  <c r="O125" i="67" s="1"/>
  <c r="O67" i="67"/>
  <c r="O289" i="67" s="1"/>
  <c r="D91" i="60"/>
  <c r="C80" i="28"/>
  <c r="C82" i="28" s="1"/>
  <c r="C83" i="28" s="1"/>
  <c r="C25" i="67"/>
  <c r="C25" i="45"/>
  <c r="T53" i="45"/>
  <c r="T8" i="68"/>
  <c r="T10" i="68" s="1"/>
  <c r="T165" i="45"/>
  <c r="T111" i="45" s="1"/>
  <c r="T204" i="67"/>
  <c r="T189" i="67"/>
  <c r="T190" i="67" s="1"/>
  <c r="E183" i="67"/>
  <c r="F71" i="60"/>
  <c r="F75" i="60" s="1"/>
  <c r="E193" i="45"/>
  <c r="M165" i="67"/>
  <c r="M125" i="67" s="1"/>
  <c r="M67" i="67"/>
  <c r="M289" i="67" s="1"/>
  <c r="F12" i="46"/>
  <c r="G87" i="59"/>
  <c r="G93" i="59" s="1"/>
  <c r="F61" i="46"/>
  <c r="F63" i="46" s="1"/>
  <c r="H85" i="59"/>
  <c r="M411" i="67"/>
  <c r="M412" i="67" s="1"/>
  <c r="M426" i="67"/>
  <c r="T12" i="68"/>
  <c r="T7" i="68"/>
  <c r="M12" i="68"/>
  <c r="M7" i="68"/>
  <c r="M9" i="68" s="1"/>
  <c r="M11" i="68" s="1"/>
  <c r="T411" i="67"/>
  <c r="T412" i="67" s="1"/>
  <c r="T426" i="67"/>
  <c r="M204" i="67"/>
  <c r="M189" i="67"/>
  <c r="M190" i="67" s="1"/>
  <c r="O165" i="45"/>
  <c r="O111" i="45" s="1"/>
  <c r="O53" i="45"/>
  <c r="O8" i="68"/>
  <c r="O10" i="68" s="1"/>
  <c r="M322" i="67"/>
  <c r="M355" i="67" s="1"/>
  <c r="M404" i="67"/>
  <c r="T67" i="67"/>
  <c r="T289" i="67" s="1"/>
  <c r="T165" i="67"/>
  <c r="T125" i="67" s="1"/>
  <c r="C201" i="45"/>
  <c r="C203" i="45" s="1"/>
  <c r="C222" i="45"/>
  <c r="P167" i="45"/>
  <c r="P109" i="45" s="1"/>
  <c r="P194" i="45"/>
  <c r="P162" i="45"/>
  <c r="P163" i="45" s="1"/>
  <c r="P107" i="45"/>
  <c r="P5" i="68"/>
  <c r="P166" i="45"/>
  <c r="P105" i="45" s="1"/>
  <c r="P168" i="45"/>
  <c r="S193" i="45"/>
  <c r="S183" i="67"/>
  <c r="T71" i="60"/>
  <c r="T75" i="60" s="1"/>
  <c r="Q166" i="45"/>
  <c r="Q105" i="45" s="1"/>
  <c r="Q107" i="45"/>
  <c r="Q162" i="45"/>
  <c r="Q163" i="45" s="1"/>
  <c r="Q5" i="68"/>
  <c r="Q194" i="45"/>
  <c r="Q168" i="45"/>
  <c r="Q167" i="45"/>
  <c r="Q109" i="45" s="1"/>
  <c r="D168" i="45"/>
  <c r="D5" i="68"/>
  <c r="D107" i="45"/>
  <c r="D194" i="45"/>
  <c r="D166" i="45"/>
  <c r="D105" i="45" s="1"/>
  <c r="D167" i="45"/>
  <c r="D109" i="45" s="1"/>
  <c r="D162" i="45"/>
  <c r="D163" i="45" s="1"/>
  <c r="H91" i="60"/>
  <c r="H93" i="60" s="1"/>
  <c r="G25" i="45"/>
  <c r="G25" i="67"/>
  <c r="G80" i="28"/>
  <c r="R166" i="67"/>
  <c r="R119" i="67" s="1"/>
  <c r="R168" i="67"/>
  <c r="R184" i="67"/>
  <c r="R121" i="67"/>
  <c r="R162" i="67"/>
  <c r="R163" i="67" s="1"/>
  <c r="R167" i="67"/>
  <c r="R123" i="67" s="1"/>
  <c r="C166" i="67"/>
  <c r="C119" i="67" s="1"/>
  <c r="C121" i="67"/>
  <c r="C162" i="67"/>
  <c r="C163" i="67" s="1"/>
  <c r="C184" i="67"/>
  <c r="C167" i="67"/>
  <c r="C123" i="67" s="1"/>
  <c r="C168" i="67"/>
  <c r="U201" i="45"/>
  <c r="U203" i="45" s="1"/>
  <c r="U222" i="45"/>
  <c r="P222" i="45"/>
  <c r="P201" i="45"/>
  <c r="P203" i="45" s="1"/>
  <c r="Q215" i="67"/>
  <c r="Q283" i="67"/>
  <c r="Q437" i="67" s="1"/>
  <c r="B162" i="67"/>
  <c r="B163" i="67" s="1"/>
  <c r="B167" i="67"/>
  <c r="B123" i="67" s="1"/>
  <c r="B184" i="67"/>
  <c r="B121" i="67"/>
  <c r="B166" i="67"/>
  <c r="B119" i="67" s="1"/>
  <c r="B168" i="67"/>
  <c r="D251" i="67"/>
  <c r="D182" i="67"/>
  <c r="D100" i="67"/>
  <c r="D133" i="67" s="1"/>
  <c r="L25" i="67"/>
  <c r="L25" i="45"/>
  <c r="L80" i="28"/>
  <c r="M91" i="60"/>
  <c r="M93" i="60" s="1"/>
  <c r="H62" i="59"/>
  <c r="G64" i="59"/>
  <c r="F53" i="46"/>
  <c r="R107" i="45"/>
  <c r="R167" i="45"/>
  <c r="R109" i="45" s="1"/>
  <c r="R168" i="45"/>
  <c r="R194" i="45"/>
  <c r="R166" i="45"/>
  <c r="R105" i="45" s="1"/>
  <c r="R162" i="45"/>
  <c r="R163" i="45" s="1"/>
  <c r="R5" i="68"/>
  <c r="F189" i="67"/>
  <c r="F190" i="67" s="1"/>
  <c r="F204" i="67"/>
  <c r="C27" i="67"/>
  <c r="C249" i="67" s="1"/>
  <c r="C181" i="67"/>
  <c r="C117" i="67" s="1"/>
  <c r="C191" i="45"/>
  <c r="C103" i="45" s="1"/>
  <c r="U251" i="67"/>
  <c r="U100" i="67"/>
  <c r="U133" i="67" s="1"/>
  <c r="P162" i="67"/>
  <c r="P163" i="67" s="1"/>
  <c r="P167" i="67"/>
  <c r="P123" i="67" s="1"/>
  <c r="P184" i="67"/>
  <c r="P166" i="67"/>
  <c r="P119" i="67" s="1"/>
  <c r="P168" i="67"/>
  <c r="P121" i="67"/>
  <c r="F31" i="67"/>
  <c r="F253" i="67" s="1"/>
  <c r="Q167" i="67"/>
  <c r="Q123" i="67" s="1"/>
  <c r="Q184" i="67"/>
  <c r="Q162" i="67"/>
  <c r="Q163" i="67" s="1"/>
  <c r="Q166" i="67"/>
  <c r="Q119" i="67" s="1"/>
  <c r="Q121" i="67"/>
  <c r="Q168" i="67"/>
  <c r="Q222" i="45"/>
  <c r="Q201" i="45"/>
  <c r="Q203" i="45" s="1"/>
  <c r="B201" i="45"/>
  <c r="B203" i="45" s="1"/>
  <c r="B222" i="45"/>
  <c r="B166" i="45"/>
  <c r="B105" i="45" s="1"/>
  <c r="B167" i="45"/>
  <c r="B109" i="45" s="1"/>
  <c r="B5" i="68"/>
  <c r="B162" i="45"/>
  <c r="B163" i="45" s="1"/>
  <c r="B194" i="45"/>
  <c r="B168" i="45"/>
  <c r="B107" i="45"/>
  <c r="U247" i="67"/>
  <c r="U354" i="67" s="1"/>
  <c r="U132" i="67"/>
  <c r="D32" i="26"/>
  <c r="D94" i="45"/>
  <c r="D108" i="67"/>
  <c r="D27" i="67"/>
  <c r="D249" i="67" s="1"/>
  <c r="D181" i="67"/>
  <c r="D117" i="67" s="1"/>
  <c r="D191" i="45"/>
  <c r="D103" i="45" s="1"/>
  <c r="D121" i="67"/>
  <c r="D184" i="67"/>
  <c r="D162" i="67"/>
  <c r="D163" i="67" s="1"/>
  <c r="D168" i="67"/>
  <c r="D167" i="67"/>
  <c r="D123" i="67" s="1"/>
  <c r="D166" i="67"/>
  <c r="D119" i="67" s="1"/>
  <c r="R201" i="45"/>
  <c r="R203" i="45" s="1"/>
  <c r="R222" i="45"/>
  <c r="R100" i="67"/>
  <c r="R133" i="67" s="1"/>
  <c r="R251" i="67"/>
  <c r="H80" i="28"/>
  <c r="I91" i="60"/>
  <c r="I93" i="60" s="1"/>
  <c r="H25" i="45"/>
  <c r="H25" i="67"/>
  <c r="F8" i="68"/>
  <c r="F10" i="68" s="1"/>
  <c r="F165" i="45"/>
  <c r="F111" i="45" s="1"/>
  <c r="F53" i="45"/>
  <c r="K10" i="60"/>
  <c r="L9" i="62"/>
  <c r="O193" i="45"/>
  <c r="P71" i="60"/>
  <c r="P75" i="60" s="1"/>
  <c r="O183" i="67"/>
  <c r="C107" i="45"/>
  <c r="C168" i="45"/>
  <c r="C162" i="45"/>
  <c r="C163" i="45" s="1"/>
  <c r="C194" i="45"/>
  <c r="C166" i="45"/>
  <c r="C105" i="45" s="1"/>
  <c r="C167" i="45"/>
  <c r="C109" i="45" s="1"/>
  <c r="C5" i="68"/>
  <c r="U168" i="67"/>
  <c r="U167" i="67"/>
  <c r="U123" i="67" s="1"/>
  <c r="U184" i="67"/>
  <c r="U166" i="67"/>
  <c r="U119" i="67" s="1"/>
  <c r="U162" i="67"/>
  <c r="U163" i="67" s="1"/>
  <c r="U121" i="67"/>
  <c r="P251" i="67"/>
  <c r="P100" i="67"/>
  <c r="P133" i="67" s="1"/>
  <c r="R80" i="28"/>
  <c r="S91" i="60"/>
  <c r="R25" i="67"/>
  <c r="R25" i="45"/>
  <c r="B283" i="67"/>
  <c r="B437" i="67" s="1"/>
  <c r="B215" i="67"/>
  <c r="O91" i="60"/>
  <c r="N25" i="45"/>
  <c r="N80" i="28"/>
  <c r="N25" i="67"/>
  <c r="F426" i="67"/>
  <c r="F411" i="67"/>
  <c r="F412" i="67" s="1"/>
  <c r="U194" i="45"/>
  <c r="U5" i="68"/>
  <c r="U168" i="45"/>
  <c r="U162" i="45"/>
  <c r="U163" i="45" s="1"/>
  <c r="U167" i="45"/>
  <c r="U109" i="45" s="1"/>
  <c r="U166" i="45"/>
  <c r="U105" i="45" s="1"/>
  <c r="U107" i="45"/>
  <c r="B191" i="45"/>
  <c r="B103" i="45" s="1"/>
  <c r="B217" i="67"/>
  <c r="B27" i="67"/>
  <c r="B249" i="67" s="1"/>
  <c r="B234" i="45"/>
  <c r="B181" i="67"/>
  <c r="B117" i="67" s="1"/>
  <c r="B192" i="45"/>
  <c r="U118" i="45"/>
  <c r="U27" i="45"/>
  <c r="D201" i="45"/>
  <c r="D203" i="45" s="1"/>
  <c r="D222" i="45"/>
  <c r="F404" i="67"/>
  <c r="F322" i="67"/>
  <c r="F355" i="67" s="1"/>
  <c r="P183" i="67"/>
  <c r="Q71" i="60"/>
  <c r="Q75" i="60" s="1"/>
  <c r="P193" i="45"/>
  <c r="C100" i="67"/>
  <c r="C133" i="67" s="1"/>
  <c r="C251" i="67"/>
  <c r="C182" i="67"/>
  <c r="C215" i="67"/>
  <c r="C283" i="67"/>
  <c r="C437" i="67" s="1"/>
  <c r="F165" i="67"/>
  <c r="F125" i="67" s="1"/>
  <c r="F67" i="67"/>
  <c r="F289" i="67" s="1"/>
  <c r="U283" i="67"/>
  <c r="U437" i="67" s="1"/>
  <c r="U215" i="67"/>
  <c r="P215" i="67"/>
  <c r="P283" i="67"/>
  <c r="P437" i="67" s="1"/>
  <c r="G32" i="46"/>
  <c r="G33" i="46" s="1"/>
  <c r="H78" i="58"/>
  <c r="I77" i="58"/>
  <c r="J25" i="67"/>
  <c r="K91" i="60"/>
  <c r="K93" i="60" s="1"/>
  <c r="J25" i="45"/>
  <c r="J80" i="28"/>
  <c r="G91" i="60"/>
  <c r="F25" i="45"/>
  <c r="F25" i="67"/>
  <c r="F80" i="28"/>
  <c r="F82" i="28" s="1"/>
  <c r="F83" i="28" s="1"/>
  <c r="Q25" i="45"/>
  <c r="Q25" i="67"/>
  <c r="R91" i="60"/>
  <c r="Q80" i="28"/>
  <c r="Q100" i="67"/>
  <c r="Q133" i="67" s="1"/>
  <c r="Q251" i="67"/>
  <c r="B100" i="67"/>
  <c r="B133" i="67" s="1"/>
  <c r="B182" i="67"/>
  <c r="B251" i="67"/>
  <c r="U4" i="47"/>
  <c r="U9" i="47" s="1"/>
  <c r="U21" i="47" s="1"/>
  <c r="V95" i="60"/>
  <c r="U29" i="45"/>
  <c r="D283" i="67"/>
  <c r="D437" i="67" s="1"/>
  <c r="D215" i="67"/>
  <c r="E36" i="26"/>
  <c r="E38" i="26" s="1"/>
  <c r="E40" i="26" s="1"/>
  <c r="E41" i="26" s="1"/>
  <c r="E42" i="26" s="1"/>
  <c r="E28" i="26"/>
  <c r="E30" i="26" s="1"/>
  <c r="E31" i="26" s="1"/>
  <c r="E54" i="46"/>
  <c r="E60" i="46" s="1"/>
  <c r="E64" i="46" s="1"/>
  <c r="R215" i="67"/>
  <c r="R283" i="67"/>
  <c r="R437" i="67" s="1"/>
  <c r="R73" i="28"/>
  <c r="R81" i="28"/>
  <c r="R82" i="28" s="1"/>
  <c r="R83" i="28" s="1"/>
  <c r="K193" i="45"/>
  <c r="K183" i="67"/>
  <c r="L71" i="60"/>
  <c r="L75" i="60" s="1"/>
  <c r="F7" i="68"/>
  <c r="F12" i="68"/>
  <c r="J9" i="58"/>
  <c r="J58" i="58" s="1"/>
  <c r="J9" i="59"/>
  <c r="E3" i="67"/>
  <c r="F10" i="59"/>
  <c r="F58" i="59" s="1"/>
  <c r="E2" i="28"/>
  <c r="E2" i="47"/>
  <c r="E23" i="47" s="1"/>
  <c r="E34" i="47" s="1"/>
  <c r="A60" i="51"/>
  <c r="E3" i="45"/>
  <c r="F56" i="60"/>
  <c r="E2" i="46"/>
  <c r="E17" i="46" s="1"/>
  <c r="E41" i="46" s="1"/>
  <c r="E8" i="26"/>
  <c r="F10" i="58"/>
  <c r="F59" i="58" s="1"/>
  <c r="D158" i="67"/>
  <c r="D139" i="67"/>
  <c r="D129" i="67"/>
  <c r="D201" i="67"/>
  <c r="D179" i="67"/>
  <c r="D90" i="67"/>
  <c r="D97" i="67"/>
  <c r="D225" i="67"/>
  <c r="D212" i="67"/>
  <c r="D111" i="67"/>
  <c r="D77" i="67"/>
  <c r="D9" i="51"/>
  <c r="D2" i="51" s="1"/>
  <c r="B46" i="51"/>
  <c r="C46" i="51" s="1"/>
  <c r="D46" i="51" s="1"/>
  <c r="E46" i="51" s="1"/>
  <c r="F46" i="51" s="1"/>
  <c r="G46" i="51" s="1"/>
  <c r="H46" i="51" s="1"/>
  <c r="I46" i="51" s="1"/>
  <c r="K46" i="51" s="1"/>
  <c r="L46" i="51" s="1"/>
  <c r="M46" i="51" s="1"/>
  <c r="N46" i="51" s="1"/>
  <c r="O46" i="51" s="1"/>
  <c r="G11" i="60"/>
  <c r="G24" i="62"/>
  <c r="G15" i="62"/>
  <c r="C423" i="67"/>
  <c r="C380" i="67"/>
  <c r="C312" i="67"/>
  <c r="C401" i="67"/>
  <c r="C434" i="67"/>
  <c r="C299" i="67"/>
  <c r="C319" i="67"/>
  <c r="C351" i="67"/>
  <c r="C333" i="67"/>
  <c r="C361" i="67"/>
  <c r="D37" i="28"/>
  <c r="D70" i="28"/>
  <c r="D173" i="45"/>
  <c r="D76" i="45"/>
  <c r="D158" i="45"/>
  <c r="D3" i="68" s="1"/>
  <c r="D15" i="68" s="1"/>
  <c r="D219" i="45"/>
  <c r="D199" i="45"/>
  <c r="D115" i="45"/>
  <c r="D124" i="45"/>
  <c r="D63" i="45"/>
  <c r="D83" i="45"/>
  <c r="D229" i="45"/>
  <c r="D189" i="45"/>
  <c r="D140" i="45"/>
  <c r="D181" i="45"/>
  <c r="D97" i="45"/>
  <c r="D26" i="26"/>
  <c r="D1" i="26"/>
  <c r="D79" i="28"/>
  <c r="D34" i="26"/>
  <c r="Q32" i="51"/>
  <c r="R32" i="51" s="1"/>
  <c r="S32" i="51" s="1"/>
  <c r="T32" i="51" s="1"/>
  <c r="U32" i="51" s="1"/>
  <c r="V32" i="51" s="1"/>
  <c r="W32" i="51" s="1"/>
  <c r="X32" i="51" s="1"/>
  <c r="P32" i="51"/>
  <c r="I28" i="58" l="1"/>
  <c r="I45" i="59"/>
  <c r="H20" i="47"/>
  <c r="H28" i="58"/>
  <c r="H45" i="59"/>
  <c r="G20" i="47"/>
  <c r="M28" i="58"/>
  <c r="M45" i="59"/>
  <c r="L20" i="47"/>
  <c r="K45" i="59"/>
  <c r="K28" i="58"/>
  <c r="J20" i="47"/>
  <c r="F9" i="68"/>
  <c r="F11" i="68" s="1"/>
  <c r="U90" i="28"/>
  <c r="N81" i="28"/>
  <c r="E131" i="45"/>
  <c r="E17" i="26"/>
  <c r="E55" i="45" s="1"/>
  <c r="E213" i="45" s="1"/>
  <c r="E215" i="45" s="1"/>
  <c r="I148" i="67"/>
  <c r="I186" i="67"/>
  <c r="I196" i="45"/>
  <c r="I149" i="45"/>
  <c r="J69" i="60"/>
  <c r="S12" i="31"/>
  <c r="T12" i="31"/>
  <c r="U9" i="31"/>
  <c r="V9" i="31" s="1"/>
  <c r="U15" i="31"/>
  <c r="V15" i="31"/>
  <c r="S322" i="67"/>
  <c r="S355" i="67" s="1"/>
  <c r="S404" i="67"/>
  <c r="AA16" i="31"/>
  <c r="AB16" i="31"/>
  <c r="U23" i="51"/>
  <c r="E24" i="51"/>
  <c r="S165" i="67"/>
  <c r="S125" i="67" s="1"/>
  <c r="S67" i="67"/>
  <c r="S289" i="67" s="1"/>
  <c r="D118" i="45"/>
  <c r="D27" i="45"/>
  <c r="U8" i="31"/>
  <c r="V8" i="31" s="1"/>
  <c r="AA17" i="31"/>
  <c r="AB17" i="31" s="1"/>
  <c r="B78" i="45"/>
  <c r="B92" i="67"/>
  <c r="B45" i="47"/>
  <c r="T27" i="45"/>
  <c r="T118" i="45"/>
  <c r="N426" i="67"/>
  <c r="N411" i="67"/>
  <c r="N412" i="67" s="1"/>
  <c r="W11" i="31"/>
  <c r="X11" i="31" s="1"/>
  <c r="AA10" i="31"/>
  <c r="AB10" i="31"/>
  <c r="D132" i="67"/>
  <c r="D247" i="67"/>
  <c r="D354" i="67" s="1"/>
  <c r="W6" i="31"/>
  <c r="X6" i="31" s="1"/>
  <c r="B20" i="28"/>
  <c r="B31" i="28"/>
  <c r="E9" i="68"/>
  <c r="E11" i="68" s="1"/>
  <c r="N12" i="68"/>
  <c r="N7" i="68"/>
  <c r="Y18" i="31"/>
  <c r="Z18" i="31"/>
  <c r="G25" i="51"/>
  <c r="V24" i="51"/>
  <c r="E20" i="28"/>
  <c r="E21" i="28" s="1"/>
  <c r="E23" i="28" s="1"/>
  <c r="E31" i="28"/>
  <c r="S13" i="31"/>
  <c r="T13" i="31" s="1"/>
  <c r="U7" i="31"/>
  <c r="V7" i="31" s="1"/>
  <c r="M73" i="28"/>
  <c r="M81" i="28"/>
  <c r="T73" i="28"/>
  <c r="T81" i="28"/>
  <c r="T82" i="28" s="1"/>
  <c r="T83" i="28" s="1"/>
  <c r="S426" i="67"/>
  <c r="S411" i="67"/>
  <c r="S412" i="67" s="1"/>
  <c r="W14" i="31"/>
  <c r="X14" i="31"/>
  <c r="C24" i="51"/>
  <c r="T23" i="51"/>
  <c r="N23" i="51" s="1"/>
  <c r="B17" i="26"/>
  <c r="E95" i="60"/>
  <c r="D4" i="47"/>
  <c r="D9" i="47" s="1"/>
  <c r="D21" i="47" s="1"/>
  <c r="D29" i="45"/>
  <c r="B86" i="45"/>
  <c r="B119" i="45" s="1"/>
  <c r="B31" i="45"/>
  <c r="B37" i="45"/>
  <c r="T247" i="67"/>
  <c r="T354" i="67" s="1"/>
  <c r="T132" i="67"/>
  <c r="AG3" i="31"/>
  <c r="M23" i="31"/>
  <c r="AF3" i="31"/>
  <c r="N404" i="67"/>
  <c r="N322" i="67"/>
  <c r="N355" i="67" s="1"/>
  <c r="R4" i="31"/>
  <c r="S189" i="67"/>
  <c r="S190" i="67" s="1"/>
  <c r="S204" i="67"/>
  <c r="N165" i="67"/>
  <c r="N125" i="67" s="1"/>
  <c r="N67" i="67"/>
  <c r="N289" i="67" s="1"/>
  <c r="AA5" i="31"/>
  <c r="AB5" i="31"/>
  <c r="N22" i="51"/>
  <c r="D90" i="28"/>
  <c r="D85" i="28"/>
  <c r="D88" i="28" s="1"/>
  <c r="D75" i="28" s="1"/>
  <c r="Q23" i="51"/>
  <c r="O24" i="51"/>
  <c r="N53" i="45"/>
  <c r="N8" i="68"/>
  <c r="N10" i="68" s="1"/>
  <c r="N165" i="45"/>
  <c r="N111" i="45" s="1"/>
  <c r="B41" i="67"/>
  <c r="B33" i="45"/>
  <c r="C98" i="60"/>
  <c r="B57" i="45"/>
  <c r="B71" i="67"/>
  <c r="B33" i="67"/>
  <c r="B35" i="67"/>
  <c r="B257" i="67" s="1"/>
  <c r="B220" i="67"/>
  <c r="B237" i="45"/>
  <c r="M186" i="67"/>
  <c r="M148" i="67"/>
  <c r="M196" i="45"/>
  <c r="N69" i="60"/>
  <c r="M149" i="45"/>
  <c r="T4" i="47"/>
  <c r="T9" i="47" s="1"/>
  <c r="T21" i="47" s="1"/>
  <c r="U95" i="60"/>
  <c r="T29" i="45"/>
  <c r="S7" i="68"/>
  <c r="S12" i="68"/>
  <c r="S165" i="45"/>
  <c r="S111" i="45" s="1"/>
  <c r="S53" i="45"/>
  <c r="S8" i="68"/>
  <c r="S10" i="68" s="1"/>
  <c r="L29" i="51"/>
  <c r="X28" i="51"/>
  <c r="W24" i="51"/>
  <c r="I25" i="51"/>
  <c r="N204" i="67"/>
  <c r="N189" i="67"/>
  <c r="N190" i="67" s="1"/>
  <c r="N82" i="28"/>
  <c r="N83" i="28" s="1"/>
  <c r="N90" i="28" s="1"/>
  <c r="C247" i="67"/>
  <c r="C354" i="67" s="1"/>
  <c r="C132" i="67"/>
  <c r="O9" i="68"/>
  <c r="O11" i="68" s="1"/>
  <c r="F191" i="45"/>
  <c r="F103" i="45" s="1"/>
  <c r="F182" i="67"/>
  <c r="F27" i="67"/>
  <c r="F249" i="67" s="1"/>
  <c r="F181" i="67"/>
  <c r="F117" i="67" s="1"/>
  <c r="C85" i="28"/>
  <c r="C88" i="28" s="1"/>
  <c r="C75" i="28" s="1"/>
  <c r="C90" i="28"/>
  <c r="E25" i="67"/>
  <c r="E80" i="28"/>
  <c r="E25" i="45"/>
  <c r="F91" i="60"/>
  <c r="C4" i="47"/>
  <c r="C9" i="47" s="1"/>
  <c r="C21" i="47" s="1"/>
  <c r="D95" i="60"/>
  <c r="C29" i="45"/>
  <c r="T9" i="68"/>
  <c r="T11" i="68" s="1"/>
  <c r="H87" i="59"/>
  <c r="I85" i="59"/>
  <c r="G61" i="46"/>
  <c r="G63" i="46" s="1"/>
  <c r="G12" i="46"/>
  <c r="C27" i="45"/>
  <c r="C118" i="45"/>
  <c r="B404" i="67"/>
  <c r="B322" i="67"/>
  <c r="B355" i="67" s="1"/>
  <c r="N4" i="47"/>
  <c r="N9" i="47" s="1"/>
  <c r="N21" i="47" s="1"/>
  <c r="N29" i="45"/>
  <c r="O95" i="60"/>
  <c r="C8" i="68"/>
  <c r="C10" i="68" s="1"/>
  <c r="C165" i="45"/>
  <c r="C111" i="45" s="1"/>
  <c r="C53" i="45"/>
  <c r="H27" i="45"/>
  <c r="H118" i="45"/>
  <c r="R204" i="67"/>
  <c r="R189" i="67"/>
  <c r="R190" i="67" s="1"/>
  <c r="U45" i="47"/>
  <c r="U92" i="67"/>
  <c r="U78" i="45"/>
  <c r="Q4" i="47"/>
  <c r="Q9" i="47" s="1"/>
  <c r="Q21" i="47" s="1"/>
  <c r="R95" i="60"/>
  <c r="Q29" i="45"/>
  <c r="F132" i="67"/>
  <c r="F247" i="67"/>
  <c r="F354" i="67" s="1"/>
  <c r="C411" i="67"/>
  <c r="C412" i="67" s="1"/>
  <c r="C426" i="67"/>
  <c r="U12" i="68"/>
  <c r="U7" i="68"/>
  <c r="N118" i="45"/>
  <c r="N27" i="45"/>
  <c r="R247" i="67"/>
  <c r="R354" i="67" s="1"/>
  <c r="R132" i="67"/>
  <c r="B53" i="45"/>
  <c r="B165" i="45"/>
  <c r="B111" i="45" s="1"/>
  <c r="B8" i="68"/>
  <c r="B10" i="68" s="1"/>
  <c r="L29" i="45"/>
  <c r="M95" i="60"/>
  <c r="L4" i="47"/>
  <c r="L9" i="47" s="1"/>
  <c r="Q247" i="67"/>
  <c r="Q354" i="67" s="1"/>
  <c r="Q132" i="67"/>
  <c r="U411" i="67"/>
  <c r="U412" i="67" s="1"/>
  <c r="U426" i="67"/>
  <c r="C204" i="67"/>
  <c r="C189" i="67"/>
  <c r="C190" i="67" s="1"/>
  <c r="P25" i="67"/>
  <c r="P25" i="45"/>
  <c r="Q91" i="60"/>
  <c r="P80" i="28"/>
  <c r="P82" i="28" s="1"/>
  <c r="P83" i="28" s="1"/>
  <c r="B12" i="68"/>
  <c r="B7" i="68"/>
  <c r="B9" i="68" s="1"/>
  <c r="B11" i="68" s="1"/>
  <c r="P165" i="67"/>
  <c r="P125" i="67" s="1"/>
  <c r="P67" i="67"/>
  <c r="P289" i="67" s="1"/>
  <c r="Q426" i="67"/>
  <c r="Q411" i="67"/>
  <c r="Q412" i="67" s="1"/>
  <c r="R67" i="67"/>
  <c r="R289" i="67" s="1"/>
  <c r="R165" i="67"/>
  <c r="R125" i="67" s="1"/>
  <c r="H95" i="60"/>
  <c r="G29" i="45"/>
  <c r="G4" i="47"/>
  <c r="G9" i="47" s="1"/>
  <c r="P7" i="68"/>
  <c r="P12" i="68"/>
  <c r="R85" i="28"/>
  <c r="R88" i="28" s="1"/>
  <c r="R75" i="28" s="1"/>
  <c r="R90" i="28"/>
  <c r="U37" i="45"/>
  <c r="U86" i="45"/>
  <c r="U119" i="45" s="1"/>
  <c r="U31" i="45"/>
  <c r="F4" i="47"/>
  <c r="F9" i="47" s="1"/>
  <c r="F21" i="47" s="1"/>
  <c r="F29" i="45"/>
  <c r="G95" i="60"/>
  <c r="J132" i="67"/>
  <c r="J247" i="67"/>
  <c r="J354" i="67" s="1"/>
  <c r="P426" i="67"/>
  <c r="P411" i="67"/>
  <c r="P412" i="67" s="1"/>
  <c r="U165" i="45"/>
  <c r="U111" i="45" s="1"/>
  <c r="U53" i="45"/>
  <c r="U8" i="68"/>
  <c r="U10" i="68" s="1"/>
  <c r="N247" i="67"/>
  <c r="N354" i="67" s="1"/>
  <c r="N132" i="67"/>
  <c r="B411" i="67"/>
  <c r="B412" i="67" s="1"/>
  <c r="B426" i="67"/>
  <c r="H29" i="45"/>
  <c r="I95" i="60"/>
  <c r="H4" i="47"/>
  <c r="H9" i="47" s="1"/>
  <c r="R7" i="68"/>
  <c r="R12" i="68"/>
  <c r="F36" i="26"/>
  <c r="F38" i="26" s="1"/>
  <c r="F40" i="26" s="1"/>
  <c r="F41" i="26" s="1"/>
  <c r="F42" i="26" s="1"/>
  <c r="F28" i="26"/>
  <c r="F30" i="26" s="1"/>
  <c r="F31" i="26" s="1"/>
  <c r="F54" i="46"/>
  <c r="F60" i="46" s="1"/>
  <c r="F64" i="46" s="1"/>
  <c r="L118" i="45"/>
  <c r="L27" i="45"/>
  <c r="D404" i="67"/>
  <c r="D322" i="67"/>
  <c r="D355" i="67" s="1"/>
  <c r="Q204" i="67"/>
  <c r="Q189" i="67"/>
  <c r="Q190" i="67" s="1"/>
  <c r="D8" i="68"/>
  <c r="D10" i="68" s="1"/>
  <c r="D165" i="45"/>
  <c r="D111" i="45" s="1"/>
  <c r="D53" i="45"/>
  <c r="Q12" i="68"/>
  <c r="Q7" i="68"/>
  <c r="T91" i="60"/>
  <c r="S25" i="45"/>
  <c r="S80" i="28"/>
  <c r="S82" i="28" s="1"/>
  <c r="S83" i="28" s="1"/>
  <c r="S25" i="67"/>
  <c r="Q90" i="28"/>
  <c r="Q85" i="28"/>
  <c r="Q88" i="28" s="1"/>
  <c r="Q75" i="28" s="1"/>
  <c r="D204" i="67"/>
  <c r="D189" i="67"/>
  <c r="D190" i="67" s="1"/>
  <c r="Q322" i="67"/>
  <c r="Q355" i="67" s="1"/>
  <c r="Q404" i="67"/>
  <c r="J118" i="45"/>
  <c r="J27" i="45"/>
  <c r="U204" i="67"/>
  <c r="U189" i="67"/>
  <c r="U190" i="67" s="1"/>
  <c r="K9" i="59"/>
  <c r="K9" i="58"/>
  <c r="K58" i="58" s="1"/>
  <c r="H132" i="67"/>
  <c r="H247" i="67"/>
  <c r="H354" i="67" s="1"/>
  <c r="U404" i="67"/>
  <c r="U322" i="67"/>
  <c r="U355" i="67" s="1"/>
  <c r="B165" i="67"/>
  <c r="B125" i="67" s="1"/>
  <c r="B67" i="67"/>
  <c r="B289" i="67" s="1"/>
  <c r="C67" i="67"/>
  <c r="C289" i="67" s="1"/>
  <c r="C165" i="67"/>
  <c r="C125" i="67" s="1"/>
  <c r="G118" i="45"/>
  <c r="G27" i="45"/>
  <c r="D426" i="67"/>
  <c r="D411" i="67"/>
  <c r="D412" i="67" s="1"/>
  <c r="F27" i="45"/>
  <c r="F118" i="45"/>
  <c r="K95" i="60"/>
  <c r="J4" i="47"/>
  <c r="J9" i="47" s="1"/>
  <c r="J29" i="45"/>
  <c r="B189" i="67"/>
  <c r="B190" i="67" s="1"/>
  <c r="B204" i="67"/>
  <c r="R4" i="47"/>
  <c r="R9" i="47" s="1"/>
  <c r="R21" i="47" s="1"/>
  <c r="S95" i="60"/>
  <c r="R29" i="45"/>
  <c r="P404" i="67"/>
  <c r="P322" i="67"/>
  <c r="P355" i="67" s="1"/>
  <c r="C12" i="68"/>
  <c r="C7" i="68"/>
  <c r="C9" i="68" s="1"/>
  <c r="C11" i="68" s="1"/>
  <c r="O25" i="67"/>
  <c r="O80" i="28"/>
  <c r="O82" i="28" s="1"/>
  <c r="O83" i="28" s="1"/>
  <c r="P91" i="60"/>
  <c r="O25" i="45"/>
  <c r="R404" i="67"/>
  <c r="R322" i="67"/>
  <c r="R355" i="67" s="1"/>
  <c r="D67" i="67"/>
  <c r="D289" i="67" s="1"/>
  <c r="D165" i="67"/>
  <c r="D125" i="67" s="1"/>
  <c r="E32" i="26"/>
  <c r="E94" i="45"/>
  <c r="E108" i="67"/>
  <c r="Q27" i="45"/>
  <c r="Q118" i="45"/>
  <c r="K25" i="67"/>
  <c r="K80" i="28"/>
  <c r="L91" i="60"/>
  <c r="L93" i="60" s="1"/>
  <c r="K25" i="45"/>
  <c r="R426" i="67"/>
  <c r="R411" i="67"/>
  <c r="R412" i="67" s="1"/>
  <c r="U33" i="45"/>
  <c r="V98" i="60"/>
  <c r="U33" i="67"/>
  <c r="U71" i="67"/>
  <c r="U57" i="45"/>
  <c r="U35" i="67"/>
  <c r="U257" i="67" s="1"/>
  <c r="U41" i="67"/>
  <c r="F90" i="28"/>
  <c r="F85" i="28"/>
  <c r="J77" i="58"/>
  <c r="I78" i="58"/>
  <c r="H32" i="46"/>
  <c r="H33" i="46" s="1"/>
  <c r="P204" i="67"/>
  <c r="P189" i="67"/>
  <c r="P190" i="67" s="1"/>
  <c r="C322" i="67"/>
  <c r="C355" i="67" s="1"/>
  <c r="C404" i="67"/>
  <c r="R27" i="45"/>
  <c r="R118" i="45"/>
  <c r="U67" i="67"/>
  <c r="U289" i="67" s="1"/>
  <c r="U165" i="67"/>
  <c r="U125" i="67" s="1"/>
  <c r="L10" i="60"/>
  <c r="M9" i="62"/>
  <c r="Q165" i="67"/>
  <c r="Q125" i="67" s="1"/>
  <c r="Q67" i="67"/>
  <c r="Q289" i="67" s="1"/>
  <c r="R8" i="68"/>
  <c r="R10" i="68" s="1"/>
  <c r="R165" i="45"/>
  <c r="R111" i="45" s="1"/>
  <c r="R53" i="45"/>
  <c r="G53" i="46"/>
  <c r="H64" i="59"/>
  <c r="I62" i="59"/>
  <c r="L247" i="67"/>
  <c r="L354" i="67" s="1"/>
  <c r="L132" i="67"/>
  <c r="G247" i="67"/>
  <c r="G354" i="67" s="1"/>
  <c r="G132" i="67"/>
  <c r="D7" i="68"/>
  <c r="D9" i="68" s="1"/>
  <c r="D11" i="68" s="1"/>
  <c r="D12" i="68"/>
  <c r="Q53" i="45"/>
  <c r="Q165" i="45"/>
  <c r="Q111" i="45" s="1"/>
  <c r="Q8" i="68"/>
  <c r="Q10" i="68" s="1"/>
  <c r="P8" i="68"/>
  <c r="P10" i="68" s="1"/>
  <c r="P53" i="45"/>
  <c r="P165" i="45"/>
  <c r="P111" i="45" s="1"/>
  <c r="F3" i="67"/>
  <c r="G56" i="60"/>
  <c r="G10" i="59"/>
  <c r="G58" i="59" s="1"/>
  <c r="F2" i="28"/>
  <c r="F2" i="46"/>
  <c r="F17" i="46" s="1"/>
  <c r="F41" i="46" s="1"/>
  <c r="F2" i="47"/>
  <c r="F23" i="47" s="1"/>
  <c r="F34" i="47" s="1"/>
  <c r="F3" i="45"/>
  <c r="F8" i="26"/>
  <c r="G10" i="58"/>
  <c r="G59" i="58" s="1"/>
  <c r="A74" i="51"/>
  <c r="Q46" i="51"/>
  <c r="R46" i="51" s="1"/>
  <c r="S46" i="51" s="1"/>
  <c r="T46" i="51" s="1"/>
  <c r="U46" i="51" s="1"/>
  <c r="V46" i="51" s="1"/>
  <c r="W46" i="51" s="1"/>
  <c r="X46" i="51" s="1"/>
  <c r="P46" i="51"/>
  <c r="E70" i="28"/>
  <c r="E37" i="28"/>
  <c r="D299" i="67"/>
  <c r="D312" i="67"/>
  <c r="D351" i="67"/>
  <c r="D319" i="67"/>
  <c r="D361" i="67"/>
  <c r="D423" i="67"/>
  <c r="D333" i="67"/>
  <c r="D434" i="67"/>
  <c r="D401" i="67"/>
  <c r="D380" i="67"/>
  <c r="E115" i="45"/>
  <c r="E199" i="45"/>
  <c r="E173" i="45"/>
  <c r="E181" i="45"/>
  <c r="E189" i="45"/>
  <c r="E97" i="45"/>
  <c r="E229" i="45"/>
  <c r="E219" i="45"/>
  <c r="E124" i="45"/>
  <c r="E158" i="45"/>
  <c r="E3" i="68" s="1"/>
  <c r="E15" i="68" s="1"/>
  <c r="E140" i="45"/>
  <c r="E83" i="45"/>
  <c r="E76" i="45"/>
  <c r="E63" i="45"/>
  <c r="H11" i="60"/>
  <c r="H24" i="62"/>
  <c r="H15" i="62"/>
  <c r="G199" i="62"/>
  <c r="G53" i="62"/>
  <c r="G66" i="62"/>
  <c r="E34" i="26"/>
  <c r="E26" i="26"/>
  <c r="E1" i="26"/>
  <c r="E79" i="28"/>
  <c r="B60" i="51"/>
  <c r="C60" i="51" s="1"/>
  <c r="D60" i="51" s="1"/>
  <c r="E60" i="51" s="1"/>
  <c r="F60" i="51" s="1"/>
  <c r="G60" i="51" s="1"/>
  <c r="H60" i="51" s="1"/>
  <c r="I60" i="51" s="1"/>
  <c r="K60" i="51" s="1"/>
  <c r="L60" i="51" s="1"/>
  <c r="M60" i="51" s="1"/>
  <c r="N60" i="51" s="1"/>
  <c r="O60" i="51" s="1"/>
  <c r="E9" i="51"/>
  <c r="E2" i="51" s="1"/>
  <c r="E111" i="67"/>
  <c r="E90" i="67"/>
  <c r="E158" i="67"/>
  <c r="E201" i="67"/>
  <c r="E77" i="67"/>
  <c r="E139" i="67"/>
  <c r="E212" i="67"/>
  <c r="E179" i="67"/>
  <c r="E225" i="67"/>
  <c r="E97" i="67"/>
  <c r="E129" i="67"/>
  <c r="H49" i="46" l="1"/>
  <c r="H50" i="46" s="1"/>
  <c r="H156" i="45"/>
  <c r="H155" i="67"/>
  <c r="I51" i="59"/>
  <c r="H25" i="46"/>
  <c r="H21" i="46" s="1"/>
  <c r="H26" i="46" s="1"/>
  <c r="H34" i="46" s="1"/>
  <c r="I45" i="58"/>
  <c r="G156" i="45"/>
  <c r="G13" i="47"/>
  <c r="G21" i="47" s="1"/>
  <c r="G49" i="46"/>
  <c r="G50" i="46" s="1"/>
  <c r="H13" i="47"/>
  <c r="G155" i="67"/>
  <c r="H51" i="59"/>
  <c r="G16" i="47"/>
  <c r="G25" i="46"/>
  <c r="G21" i="46" s="1"/>
  <c r="G26" i="46" s="1"/>
  <c r="G34" i="46" s="1"/>
  <c r="H45" i="58"/>
  <c r="H16" i="47"/>
  <c r="L49" i="46"/>
  <c r="L50" i="46" s="1"/>
  <c r="L155" i="67"/>
  <c r="L156" i="45"/>
  <c r="M13" i="47"/>
  <c r="M51" i="59"/>
  <c r="M16" i="47"/>
  <c r="M45" i="58"/>
  <c r="L25" i="46"/>
  <c r="L21" i="46" s="1"/>
  <c r="L26" i="46" s="1"/>
  <c r="L28" i="58"/>
  <c r="L45" i="59"/>
  <c r="K13" i="47" s="1"/>
  <c r="K20" i="47"/>
  <c r="K16" i="47"/>
  <c r="J25" i="46"/>
  <c r="J21" i="46" s="1"/>
  <c r="J26" i="46" s="1"/>
  <c r="K45" i="58"/>
  <c r="J155" i="67"/>
  <c r="J156" i="45"/>
  <c r="J49" i="46"/>
  <c r="J50" i="46" s="1"/>
  <c r="K51" i="59"/>
  <c r="E135" i="45"/>
  <c r="E69" i="67"/>
  <c r="E197" i="67" s="1"/>
  <c r="E198" i="67" s="1"/>
  <c r="N85" i="28"/>
  <c r="N88" i="28" s="1"/>
  <c r="N75" i="28" s="1"/>
  <c r="I183" i="67"/>
  <c r="I193" i="45"/>
  <c r="J71" i="60"/>
  <c r="J75" i="60" s="1"/>
  <c r="W8" i="31"/>
  <c r="X8" i="31" s="1"/>
  <c r="W9" i="31"/>
  <c r="X9" i="31"/>
  <c r="W7" i="31"/>
  <c r="X7" i="31" s="1"/>
  <c r="Y6" i="31"/>
  <c r="Z6" i="31" s="1"/>
  <c r="U13" i="31"/>
  <c r="V13" i="31" s="1"/>
  <c r="Y11" i="31"/>
  <c r="Z11" i="31" s="1"/>
  <c r="AC17" i="31"/>
  <c r="AD17" i="31"/>
  <c r="T31" i="45"/>
  <c r="T86" i="45"/>
  <c r="T119" i="45" s="1"/>
  <c r="T37" i="45"/>
  <c r="M183" i="67"/>
  <c r="N71" i="60"/>
  <c r="N75" i="60" s="1"/>
  <c r="M193" i="45"/>
  <c r="B102" i="67"/>
  <c r="B135" i="67" s="1"/>
  <c r="B263" i="67"/>
  <c r="B324" i="67" s="1"/>
  <c r="B357" i="67" s="1"/>
  <c r="B43" i="67"/>
  <c r="B265" i="67" s="1"/>
  <c r="Q24" i="51"/>
  <c r="O25" i="51"/>
  <c r="AC5" i="31"/>
  <c r="AD5" i="31"/>
  <c r="AI3" i="31"/>
  <c r="AH3" i="31"/>
  <c r="N23" i="31"/>
  <c r="T24" i="51"/>
  <c r="C25" i="51"/>
  <c r="G26" i="51"/>
  <c r="V25" i="51"/>
  <c r="AC10" i="31"/>
  <c r="AD10" i="31" s="1"/>
  <c r="B48" i="47"/>
  <c r="B81" i="45"/>
  <c r="B95" i="67"/>
  <c r="T33" i="45"/>
  <c r="T57" i="45"/>
  <c r="T41" i="67"/>
  <c r="T35" i="67"/>
  <c r="T257" i="67" s="1"/>
  <c r="T33" i="67"/>
  <c r="U98" i="60"/>
  <c r="T71" i="67"/>
  <c r="D86" i="45"/>
  <c r="D119" i="45" s="1"/>
  <c r="D192" i="45"/>
  <c r="D37" i="45"/>
  <c r="D31" i="45"/>
  <c r="Y14" i="31"/>
  <c r="Z14" i="31"/>
  <c r="T85" i="28"/>
  <c r="T88" i="28" s="1"/>
  <c r="T75" i="28" s="1"/>
  <c r="T90" i="28"/>
  <c r="E41" i="28"/>
  <c r="E38" i="28"/>
  <c r="E39" i="28" s="1"/>
  <c r="E74" i="28" s="1"/>
  <c r="E40" i="28"/>
  <c r="AA18" i="31"/>
  <c r="AB18" i="31"/>
  <c r="AC16" i="31"/>
  <c r="AD16" i="31" s="1"/>
  <c r="L30" i="51"/>
  <c r="X29" i="51"/>
  <c r="T92" i="67"/>
  <c r="T78" i="45"/>
  <c r="T45" i="47"/>
  <c r="C102" i="60"/>
  <c r="B6" i="46"/>
  <c r="B13" i="46" s="1"/>
  <c r="D92" i="67"/>
  <c r="D45" i="47"/>
  <c r="D78" i="45"/>
  <c r="B69" i="67"/>
  <c r="B197" i="67" s="1"/>
  <c r="B198" i="67" s="1"/>
  <c r="B135" i="45"/>
  <c r="B55" i="45"/>
  <c r="B213" i="45" s="1"/>
  <c r="B215" i="45" s="1"/>
  <c r="E33" i="28"/>
  <c r="E72" i="28"/>
  <c r="B21" i="28"/>
  <c r="B23" i="28" s="1"/>
  <c r="W15" i="31"/>
  <c r="X15" i="31" s="1"/>
  <c r="U12" i="31"/>
  <c r="V12" i="31" s="1"/>
  <c r="W25" i="51"/>
  <c r="I26" i="51"/>
  <c r="S9" i="68"/>
  <c r="S11" i="68" s="1"/>
  <c r="B255" i="67"/>
  <c r="B101" i="67"/>
  <c r="B134" i="67" s="1"/>
  <c r="B219" i="67"/>
  <c r="B207" i="67" s="1"/>
  <c r="B87" i="45"/>
  <c r="B120" i="45" s="1"/>
  <c r="B11" i="26"/>
  <c r="B128" i="45" s="1"/>
  <c r="B35" i="45"/>
  <c r="B236" i="45"/>
  <c r="B225" i="45" s="1"/>
  <c r="S4" i="31"/>
  <c r="S19" i="31" s="1"/>
  <c r="G24" i="31" s="1"/>
  <c r="R19" i="31"/>
  <c r="B39" i="45"/>
  <c r="B207" i="45" s="1"/>
  <c r="B209" i="45" s="1"/>
  <c r="B61" i="45"/>
  <c r="B235" i="45"/>
  <c r="B224" i="45" s="1"/>
  <c r="B45" i="67"/>
  <c r="B122" i="45"/>
  <c r="B233" i="45"/>
  <c r="D33" i="45"/>
  <c r="D35" i="67"/>
  <c r="D257" i="67" s="1"/>
  <c r="D234" i="45"/>
  <c r="D217" i="67"/>
  <c r="D220" i="67"/>
  <c r="D57" i="45"/>
  <c r="D237" i="45"/>
  <c r="D71" i="67"/>
  <c r="E98" i="60"/>
  <c r="D33" i="67"/>
  <c r="D41" i="67"/>
  <c r="N9" i="68"/>
  <c r="N11" i="68" s="1"/>
  <c r="E25" i="51"/>
  <c r="U24" i="51"/>
  <c r="P9" i="68"/>
  <c r="P11" i="68" s="1"/>
  <c r="J85" i="59"/>
  <c r="H12" i="46"/>
  <c r="H61" i="46"/>
  <c r="H63" i="46" s="1"/>
  <c r="I87" i="59"/>
  <c r="C33" i="67"/>
  <c r="C71" i="67"/>
  <c r="C220" i="67"/>
  <c r="C234" i="45"/>
  <c r="C35" i="67"/>
  <c r="C257" i="67" s="1"/>
  <c r="C41" i="67"/>
  <c r="C57" i="45"/>
  <c r="D98" i="60"/>
  <c r="C237" i="45"/>
  <c r="C33" i="45"/>
  <c r="C217" i="67"/>
  <c r="C78" i="45"/>
  <c r="C92" i="67"/>
  <c r="C45" i="47"/>
  <c r="E247" i="67"/>
  <c r="E354" i="67" s="1"/>
  <c r="E132" i="67"/>
  <c r="U9" i="68"/>
  <c r="U11" i="68" s="1"/>
  <c r="E29" i="45"/>
  <c r="E4" i="47"/>
  <c r="E9" i="47" s="1"/>
  <c r="E21" i="47" s="1"/>
  <c r="F95" i="60"/>
  <c r="C37" i="45"/>
  <c r="C31" i="45"/>
  <c r="C86" i="45"/>
  <c r="C119" i="45" s="1"/>
  <c r="C192" i="45"/>
  <c r="E118" i="45"/>
  <c r="E27" i="45"/>
  <c r="G28" i="26"/>
  <c r="G30" i="26" s="1"/>
  <c r="G31" i="26" s="1"/>
  <c r="G36" i="26"/>
  <c r="G38" i="26" s="1"/>
  <c r="G40" i="26" s="1"/>
  <c r="G41" i="26" s="1"/>
  <c r="G42" i="26" s="1"/>
  <c r="G54" i="46"/>
  <c r="G60" i="46" s="1"/>
  <c r="G64" i="46" s="1"/>
  <c r="L9" i="59"/>
  <c r="L9" i="58"/>
  <c r="L58" i="58" s="1"/>
  <c r="U11" i="26"/>
  <c r="U128" i="45" s="1"/>
  <c r="U87" i="45"/>
  <c r="U120" i="45" s="1"/>
  <c r="U236" i="45"/>
  <c r="U225" i="45" s="1"/>
  <c r="U35" i="45"/>
  <c r="U122" i="45"/>
  <c r="U235" i="45"/>
  <c r="U224" i="45" s="1"/>
  <c r="U39" i="45"/>
  <c r="U207" i="45" s="1"/>
  <c r="U209" i="45" s="1"/>
  <c r="U61" i="45"/>
  <c r="U45" i="67"/>
  <c r="Q33" i="45"/>
  <c r="R98" i="60"/>
  <c r="Q41" i="67"/>
  <c r="Q33" i="67"/>
  <c r="Q71" i="67"/>
  <c r="Q35" i="67"/>
  <c r="Q257" i="67" s="1"/>
  <c r="Q57" i="45"/>
  <c r="N31" i="45"/>
  <c r="N37" i="45"/>
  <c r="N86" i="45"/>
  <c r="N119" i="45" s="1"/>
  <c r="K132" i="67"/>
  <c r="K247" i="67"/>
  <c r="K354" i="67" s="1"/>
  <c r="O118" i="45"/>
  <c r="O27" i="45"/>
  <c r="G86" i="45"/>
  <c r="G119" i="45" s="1"/>
  <c r="G37" i="45"/>
  <c r="G31" i="45"/>
  <c r="P27" i="45"/>
  <c r="P118" i="45"/>
  <c r="Q92" i="67"/>
  <c r="Q78" i="45"/>
  <c r="Q45" i="47"/>
  <c r="P95" i="60"/>
  <c r="O29" i="45"/>
  <c r="O4" i="47"/>
  <c r="O9" i="47" s="1"/>
  <c r="O21" i="47" s="1"/>
  <c r="R35" i="67"/>
  <c r="R257" i="67" s="1"/>
  <c r="S98" i="60"/>
  <c r="R33" i="45"/>
  <c r="R57" i="45"/>
  <c r="R41" i="67"/>
  <c r="R33" i="67"/>
  <c r="R71" i="67"/>
  <c r="S132" i="67"/>
  <c r="S247" i="67"/>
  <c r="S354" i="67" s="1"/>
  <c r="F88" i="28"/>
  <c r="F75" i="28" s="1"/>
  <c r="O247" i="67"/>
  <c r="O354" i="67" s="1"/>
  <c r="O132" i="67"/>
  <c r="S118" i="45"/>
  <c r="S27" i="45"/>
  <c r="F32" i="26"/>
  <c r="F108" i="67"/>
  <c r="F94" i="45"/>
  <c r="H86" i="45"/>
  <c r="H119" i="45" s="1"/>
  <c r="H37" i="45"/>
  <c r="H31" i="45"/>
  <c r="F92" i="67"/>
  <c r="F78" i="45"/>
  <c r="F45" i="47"/>
  <c r="P29" i="45"/>
  <c r="Q95" i="60"/>
  <c r="P4" i="47"/>
  <c r="P9" i="47" s="1"/>
  <c r="P21" i="47" s="1"/>
  <c r="U95" i="67"/>
  <c r="U81" i="45"/>
  <c r="R37" i="45"/>
  <c r="R86" i="45"/>
  <c r="R119" i="45" s="1"/>
  <c r="R31" i="45"/>
  <c r="J33" i="67"/>
  <c r="J41" i="67"/>
  <c r="J71" i="67"/>
  <c r="J57" i="45"/>
  <c r="J33" i="45"/>
  <c r="J35" i="67"/>
  <c r="J257" i="67" s="1"/>
  <c r="K98" i="60"/>
  <c r="S29" i="45"/>
  <c r="T95" i="60"/>
  <c r="S4" i="47"/>
  <c r="S9" i="47" s="1"/>
  <c r="S21" i="47" s="1"/>
  <c r="N78" i="45"/>
  <c r="N45" i="47"/>
  <c r="N92" i="67"/>
  <c r="U102" i="67"/>
  <c r="U135" i="67" s="1"/>
  <c r="U79" i="67"/>
  <c r="U83" i="67" s="1"/>
  <c r="U88" i="67" s="1"/>
  <c r="U263" i="67"/>
  <c r="U101" i="67"/>
  <c r="U134" i="67" s="1"/>
  <c r="U255" i="67"/>
  <c r="U219" i="67"/>
  <c r="U207" i="67" s="1"/>
  <c r="K27" i="45"/>
  <c r="K118" i="45"/>
  <c r="Q9" i="68"/>
  <c r="Q11" i="68" s="1"/>
  <c r="G98" i="60"/>
  <c r="F57" i="45"/>
  <c r="F217" i="67"/>
  <c r="F237" i="45"/>
  <c r="F220" i="67"/>
  <c r="F234" i="45"/>
  <c r="F71" i="67"/>
  <c r="F33" i="45"/>
  <c r="F41" i="67"/>
  <c r="F33" i="67"/>
  <c r="F35" i="67"/>
  <c r="F257" i="67" s="1"/>
  <c r="H98" i="60"/>
  <c r="G33" i="45"/>
  <c r="G35" i="67"/>
  <c r="G257" i="67" s="1"/>
  <c r="G57" i="45"/>
  <c r="G41" i="67"/>
  <c r="G33" i="67"/>
  <c r="G71" i="67"/>
  <c r="P132" i="67"/>
  <c r="P247" i="67"/>
  <c r="P354" i="67" s="1"/>
  <c r="L35" i="67"/>
  <c r="L257" i="67" s="1"/>
  <c r="L71" i="67"/>
  <c r="L33" i="45"/>
  <c r="L57" i="45"/>
  <c r="M98" i="60"/>
  <c r="L33" i="67"/>
  <c r="L41" i="67"/>
  <c r="H53" i="46"/>
  <c r="J62" i="59"/>
  <c r="I64" i="59"/>
  <c r="N9" i="62"/>
  <c r="M10" i="60"/>
  <c r="I32" i="46"/>
  <c r="I33" i="46" s="1"/>
  <c r="K77" i="58"/>
  <c r="J78" i="58"/>
  <c r="U6" i="46"/>
  <c r="V102" i="60"/>
  <c r="K4" i="47"/>
  <c r="K9" i="47" s="1"/>
  <c r="K29" i="45"/>
  <c r="L95" i="60"/>
  <c r="O85" i="28"/>
  <c r="O88" i="28" s="1"/>
  <c r="O75" i="28" s="1"/>
  <c r="O90" i="28"/>
  <c r="R92" i="67"/>
  <c r="R78" i="45"/>
  <c r="R45" i="47"/>
  <c r="J31" i="45"/>
  <c r="J37" i="45"/>
  <c r="J86" i="45"/>
  <c r="J119" i="45" s="1"/>
  <c r="S85" i="28"/>
  <c r="S88" i="28" s="1"/>
  <c r="S75" i="28" s="1"/>
  <c r="S90" i="28"/>
  <c r="R9" i="68"/>
  <c r="R11" i="68" s="1"/>
  <c r="H71" i="67"/>
  <c r="H57" i="45"/>
  <c r="H33" i="67"/>
  <c r="H35" i="67"/>
  <c r="H257" i="67" s="1"/>
  <c r="H33" i="45"/>
  <c r="I98" i="60"/>
  <c r="H41" i="67"/>
  <c r="F192" i="45"/>
  <c r="F37" i="45"/>
  <c r="F86" i="45"/>
  <c r="F119" i="45" s="1"/>
  <c r="F31" i="45"/>
  <c r="P90" i="28"/>
  <c r="P85" i="28"/>
  <c r="P88" i="28" s="1"/>
  <c r="P75" i="28" s="1"/>
  <c r="L37" i="45"/>
  <c r="L86" i="45"/>
  <c r="L119" i="45" s="1"/>
  <c r="L31" i="45"/>
  <c r="Q31" i="45"/>
  <c r="Q37" i="45"/>
  <c r="Q86" i="45"/>
  <c r="Q119" i="45" s="1"/>
  <c r="N33" i="45"/>
  <c r="N71" i="67"/>
  <c r="N41" i="67"/>
  <c r="N35" i="67"/>
  <c r="N257" i="67" s="1"/>
  <c r="N57" i="45"/>
  <c r="O98" i="60"/>
  <c r="N33" i="67"/>
  <c r="F70" i="28"/>
  <c r="F37" i="28"/>
  <c r="I24" i="62"/>
  <c r="I11" i="60"/>
  <c r="I15" i="62"/>
  <c r="F140" i="45"/>
  <c r="F189" i="45"/>
  <c r="F229" i="45"/>
  <c r="F115" i="45"/>
  <c r="F173" i="45"/>
  <c r="F63" i="45"/>
  <c r="F181" i="45"/>
  <c r="F219" i="45"/>
  <c r="F76" i="45"/>
  <c r="F199" i="45"/>
  <c r="F97" i="45"/>
  <c r="F124" i="45"/>
  <c r="F158" i="45"/>
  <c r="F3" i="68" s="1"/>
  <c r="F15" i="68" s="1"/>
  <c r="F83" i="45"/>
  <c r="E299" i="67"/>
  <c r="E423" i="67"/>
  <c r="E312" i="67"/>
  <c r="E361" i="67"/>
  <c r="E319" i="67"/>
  <c r="E380" i="67"/>
  <c r="E401" i="67"/>
  <c r="E351" i="67"/>
  <c r="E333" i="67"/>
  <c r="E434" i="67"/>
  <c r="F1" i="26"/>
  <c r="F26" i="26"/>
  <c r="F34" i="26"/>
  <c r="F79" i="28"/>
  <c r="Q60" i="51"/>
  <c r="R60" i="51" s="1"/>
  <c r="S60" i="51" s="1"/>
  <c r="T60" i="51" s="1"/>
  <c r="U60" i="51" s="1"/>
  <c r="V60" i="51" s="1"/>
  <c r="W60" i="51" s="1"/>
  <c r="X60" i="51" s="1"/>
  <c r="P60" i="51"/>
  <c r="B74" i="51"/>
  <c r="C74" i="51" s="1"/>
  <c r="D74" i="51" s="1"/>
  <c r="E74" i="51" s="1"/>
  <c r="F74" i="51" s="1"/>
  <c r="G74" i="51" s="1"/>
  <c r="H74" i="51" s="1"/>
  <c r="I74" i="51" s="1"/>
  <c r="K74" i="51" s="1"/>
  <c r="L74" i="51" s="1"/>
  <c r="M74" i="51" s="1"/>
  <c r="N74" i="51" s="1"/>
  <c r="O74" i="51" s="1"/>
  <c r="F9" i="51"/>
  <c r="F2" i="51" s="1"/>
  <c r="G8" i="26"/>
  <c r="H56" i="60"/>
  <c r="A88" i="51"/>
  <c r="H10" i="59"/>
  <c r="H58" i="59" s="1"/>
  <c r="G2" i="28"/>
  <c r="G2" i="46"/>
  <c r="G17" i="46" s="1"/>
  <c r="G41" i="46" s="1"/>
  <c r="G3" i="67"/>
  <c r="H10" i="58"/>
  <c r="H59" i="58" s="1"/>
  <c r="G2" i="47"/>
  <c r="G23" i="47" s="1"/>
  <c r="G34" i="47" s="1"/>
  <c r="G3" i="45"/>
  <c r="H53" i="62"/>
  <c r="H199" i="62"/>
  <c r="H66" i="62"/>
  <c r="F212" i="67"/>
  <c r="F129" i="67"/>
  <c r="F179" i="67"/>
  <c r="F90" i="67"/>
  <c r="F97" i="67"/>
  <c r="F77" i="67"/>
  <c r="F201" i="67"/>
  <c r="F111" i="67"/>
  <c r="F139" i="67"/>
  <c r="F225" i="67"/>
  <c r="F158" i="67"/>
  <c r="I93" i="59" l="1"/>
  <c r="H234" i="45" s="1"/>
  <c r="H21" i="47"/>
  <c r="H78" i="45" s="1"/>
  <c r="H161" i="67"/>
  <c r="I47" i="58"/>
  <c r="I80" i="58" s="1"/>
  <c r="H161" i="45"/>
  <c r="H29" i="67"/>
  <c r="H160" i="67"/>
  <c r="H168" i="67" s="1"/>
  <c r="H160" i="45"/>
  <c r="H45" i="47"/>
  <c r="H95" i="67" s="1"/>
  <c r="H92" i="67"/>
  <c r="G45" i="47"/>
  <c r="G95" i="67" s="1"/>
  <c r="G78" i="45"/>
  <c r="G92" i="67"/>
  <c r="H47" i="58"/>
  <c r="H80" i="58" s="1"/>
  <c r="G161" i="45"/>
  <c r="G161" i="67"/>
  <c r="G160" i="45"/>
  <c r="G168" i="45" s="1"/>
  <c r="G160" i="67"/>
  <c r="G29" i="67"/>
  <c r="H93" i="59"/>
  <c r="L161" i="67"/>
  <c r="L161" i="45"/>
  <c r="M47" i="58"/>
  <c r="L51" i="45" s="1"/>
  <c r="L232" i="45" s="1"/>
  <c r="L29" i="67"/>
  <c r="L160" i="45"/>
  <c r="L168" i="45" s="1"/>
  <c r="L160" i="67"/>
  <c r="L13" i="47"/>
  <c r="K49" i="46"/>
  <c r="K50" i="46" s="1"/>
  <c r="K155" i="67"/>
  <c r="K156" i="45"/>
  <c r="L51" i="59"/>
  <c r="K25" i="46"/>
  <c r="K21" i="46" s="1"/>
  <c r="K26" i="46" s="1"/>
  <c r="L45" i="58"/>
  <c r="L16" i="47"/>
  <c r="K21" i="47"/>
  <c r="K92" i="67" s="1"/>
  <c r="J160" i="45"/>
  <c r="J29" i="67"/>
  <c r="J160" i="67"/>
  <c r="J161" i="67"/>
  <c r="K47" i="58"/>
  <c r="J51" i="45" s="1"/>
  <c r="J232" i="45" s="1"/>
  <c r="J161" i="45"/>
  <c r="H192" i="45"/>
  <c r="H217" i="67"/>
  <c r="I25" i="45"/>
  <c r="J91" i="60"/>
  <c r="J93" i="60" s="1"/>
  <c r="I25" i="67"/>
  <c r="I80" i="28"/>
  <c r="AA11" i="31"/>
  <c r="AB11" i="31" s="1"/>
  <c r="W12" i="31"/>
  <c r="X12" i="31" s="1"/>
  <c r="AF10" i="31"/>
  <c r="AE10" i="31"/>
  <c r="W13" i="31"/>
  <c r="X13" i="31" s="1"/>
  <c r="Y7" i="31"/>
  <c r="Z7" i="31" s="1"/>
  <c r="AA6" i="31"/>
  <c r="AB6" i="31" s="1"/>
  <c r="Y15" i="31"/>
  <c r="Z15" i="31" s="1"/>
  <c r="AE16" i="31"/>
  <c r="AF16" i="31"/>
  <c r="Z8" i="31"/>
  <c r="Y8" i="31"/>
  <c r="B210" i="45"/>
  <c r="B212" i="45" s="1"/>
  <c r="B223" i="45"/>
  <c r="T4" i="31"/>
  <c r="B15" i="46"/>
  <c r="C4" i="46"/>
  <c r="T79" i="67"/>
  <c r="T83" i="67" s="1"/>
  <c r="T88" i="67" s="1"/>
  <c r="T102" i="67"/>
  <c r="T135" i="67" s="1"/>
  <c r="T263" i="67"/>
  <c r="C47" i="47"/>
  <c r="B50" i="47"/>
  <c r="V26" i="51"/>
  <c r="G27" i="51"/>
  <c r="Q25" i="51"/>
  <c r="O26" i="51"/>
  <c r="T122" i="45"/>
  <c r="T235" i="45"/>
  <c r="T224" i="45" s="1"/>
  <c r="T45" i="67"/>
  <c r="T39" i="45"/>
  <c r="T207" i="45" s="1"/>
  <c r="T209" i="45" s="1"/>
  <c r="T61" i="45"/>
  <c r="D102" i="67"/>
  <c r="D135" i="67" s="1"/>
  <c r="D263" i="67"/>
  <c r="D43" i="67"/>
  <c r="D265" i="67" s="1"/>
  <c r="D79" i="67"/>
  <c r="D83" i="67" s="1"/>
  <c r="D88" i="67" s="1"/>
  <c r="W26" i="51"/>
  <c r="I27" i="51"/>
  <c r="B33" i="28"/>
  <c r="B72" i="28"/>
  <c r="E81" i="28"/>
  <c r="E82" i="28" s="1"/>
  <c r="E83" i="28" s="1"/>
  <c r="E73" i="28"/>
  <c r="B37" i="67"/>
  <c r="B259" i="67" s="1"/>
  <c r="C96" i="58"/>
  <c r="C103" i="60"/>
  <c r="B39" i="67"/>
  <c r="B261" i="67" s="1"/>
  <c r="B41" i="28"/>
  <c r="D61" i="45"/>
  <c r="D235" i="45"/>
  <c r="D224" i="45" s="1"/>
  <c r="D233" i="45"/>
  <c r="D122" i="45"/>
  <c r="D39" i="45"/>
  <c r="D207" i="45" s="1"/>
  <c r="D209" i="45" s="1"/>
  <c r="D45" i="67"/>
  <c r="U102" i="60"/>
  <c r="T6" i="46"/>
  <c r="C26" i="51"/>
  <c r="T25" i="51"/>
  <c r="AK3" i="31"/>
  <c r="O23" i="31"/>
  <c r="AJ3" i="31"/>
  <c r="D255" i="67"/>
  <c r="D219" i="67"/>
  <c r="D207" i="67" s="1"/>
  <c r="D101" i="67"/>
  <c r="D134" i="67" s="1"/>
  <c r="B47" i="67"/>
  <c r="B269" i="67" s="1"/>
  <c r="B267" i="67"/>
  <c r="B49" i="67"/>
  <c r="B136" i="67"/>
  <c r="B75" i="67"/>
  <c r="B218" i="67"/>
  <c r="B206" i="67" s="1"/>
  <c r="B216" i="67"/>
  <c r="B88" i="45"/>
  <c r="B121" i="45" s="1"/>
  <c r="B2" i="26"/>
  <c r="D81" i="45"/>
  <c r="D95" i="67"/>
  <c r="T95" i="67"/>
  <c r="T81" i="45"/>
  <c r="X30" i="51"/>
  <c r="X31" i="51" s="1"/>
  <c r="L33" i="51"/>
  <c r="B40" i="28"/>
  <c r="AA14" i="31"/>
  <c r="AB14" i="31" s="1"/>
  <c r="T255" i="67"/>
  <c r="T219" i="67"/>
  <c r="T207" i="67" s="1"/>
  <c r="T101" i="67"/>
  <c r="T134" i="67" s="1"/>
  <c r="T87" i="45"/>
  <c r="T120" i="45" s="1"/>
  <c r="T11" i="26"/>
  <c r="T128" i="45" s="1"/>
  <c r="T35" i="45"/>
  <c r="T236" i="45"/>
  <c r="T225" i="45" s="1"/>
  <c r="N24" i="51"/>
  <c r="AF5" i="31"/>
  <c r="AE5" i="31"/>
  <c r="M25" i="67"/>
  <c r="N91" i="60"/>
  <c r="M25" i="45"/>
  <c r="M80" i="28"/>
  <c r="M82" i="28" s="1"/>
  <c r="M83" i="28" s="1"/>
  <c r="E26" i="51"/>
  <c r="U25" i="51"/>
  <c r="D6" i="46"/>
  <c r="E102" i="60"/>
  <c r="D236" i="45"/>
  <c r="D225" i="45" s="1"/>
  <c r="D35" i="45"/>
  <c r="D87" i="45"/>
  <c r="D120" i="45" s="1"/>
  <c r="D11" i="26"/>
  <c r="D128" i="45" s="1"/>
  <c r="B323" i="67"/>
  <c r="B356" i="67" s="1"/>
  <c r="B441" i="67"/>
  <c r="B429" i="67" s="1"/>
  <c r="B38" i="28"/>
  <c r="B39" i="28" s="1"/>
  <c r="B74" i="28" s="1"/>
  <c r="AC18" i="31"/>
  <c r="AD18" i="31"/>
  <c r="AE17" i="31"/>
  <c r="AF17" i="31" s="1"/>
  <c r="Y9" i="31"/>
  <c r="Z9" i="31"/>
  <c r="C39" i="45"/>
  <c r="C207" i="45" s="1"/>
  <c r="C209" i="45" s="1"/>
  <c r="C233" i="45"/>
  <c r="C45" i="67"/>
  <c r="C235" i="45"/>
  <c r="C224" i="45" s="1"/>
  <c r="C61" i="45"/>
  <c r="C122" i="45"/>
  <c r="F98" i="60"/>
  <c r="E237" i="45"/>
  <c r="E57" i="45"/>
  <c r="E33" i="67"/>
  <c r="E71" i="67"/>
  <c r="E234" i="45"/>
  <c r="E220" i="67"/>
  <c r="E217" i="67"/>
  <c r="E33" i="45"/>
  <c r="E41" i="67"/>
  <c r="E35" i="67"/>
  <c r="E257" i="67" s="1"/>
  <c r="C35" i="45"/>
  <c r="C11" i="26"/>
  <c r="C128" i="45" s="1"/>
  <c r="C236" i="45"/>
  <c r="C225" i="45" s="1"/>
  <c r="C87" i="45"/>
  <c r="C120" i="45" s="1"/>
  <c r="C263" i="67"/>
  <c r="C79" i="67"/>
  <c r="C83" i="67" s="1"/>
  <c r="C88" i="67" s="1"/>
  <c r="C102" i="67"/>
  <c r="C135" i="67" s="1"/>
  <c r="C43" i="67"/>
  <c r="C265" i="67" s="1"/>
  <c r="E45" i="47"/>
  <c r="E78" i="45"/>
  <c r="E92" i="67"/>
  <c r="C255" i="67"/>
  <c r="C101" i="67"/>
  <c r="C134" i="67" s="1"/>
  <c r="C219" i="67"/>
  <c r="C207" i="67" s="1"/>
  <c r="I61" i="46"/>
  <c r="I63" i="46" s="1"/>
  <c r="K85" i="59"/>
  <c r="J87" i="59"/>
  <c r="I12" i="46"/>
  <c r="E86" i="45"/>
  <c r="E119" i="45" s="1"/>
  <c r="E31" i="45"/>
  <c r="E192" i="45"/>
  <c r="E37" i="45"/>
  <c r="C81" i="45"/>
  <c r="C48" i="47"/>
  <c r="C95" i="67"/>
  <c r="C6" i="46"/>
  <c r="C13" i="46" s="1"/>
  <c r="D102" i="60"/>
  <c r="H182" i="67"/>
  <c r="H27" i="67"/>
  <c r="H249" i="67" s="1"/>
  <c r="H181" i="67"/>
  <c r="H117" i="67" s="1"/>
  <c r="H191" i="45"/>
  <c r="H103" i="45" s="1"/>
  <c r="H79" i="67"/>
  <c r="H83" i="67" s="1"/>
  <c r="H88" i="67" s="1"/>
  <c r="H263" i="67"/>
  <c r="H102" i="67"/>
  <c r="H135" i="67" s="1"/>
  <c r="I53" i="46"/>
  <c r="J64" i="59"/>
  <c r="K62" i="59"/>
  <c r="L219" i="67"/>
  <c r="L207" i="67" s="1"/>
  <c r="L255" i="67"/>
  <c r="L101" i="67"/>
  <c r="L134" i="67" s="1"/>
  <c r="G255" i="67"/>
  <c r="G219" i="67"/>
  <c r="G207" i="67" s="1"/>
  <c r="G101" i="67"/>
  <c r="G134" i="67" s="1"/>
  <c r="F87" i="45"/>
  <c r="F120" i="45" s="1"/>
  <c r="F236" i="45"/>
  <c r="F225" i="45" s="1"/>
  <c r="F35" i="45"/>
  <c r="F11" i="26"/>
  <c r="F128" i="45" s="1"/>
  <c r="P78" i="45"/>
  <c r="P45" i="47"/>
  <c r="P92" i="67"/>
  <c r="R6" i="46"/>
  <c r="S102" i="60"/>
  <c r="O33" i="67"/>
  <c r="O71" i="67"/>
  <c r="O35" i="67"/>
  <c r="O257" i="67" s="1"/>
  <c r="O57" i="45"/>
  <c r="O41" i="67"/>
  <c r="O33" i="45"/>
  <c r="P98" i="60"/>
  <c r="R102" i="60"/>
  <c r="Q6" i="46"/>
  <c r="U49" i="67"/>
  <c r="U75" i="67"/>
  <c r="U267" i="67"/>
  <c r="U218" i="67"/>
  <c r="U206" i="67" s="1"/>
  <c r="U136" i="67"/>
  <c r="U47" i="67"/>
  <c r="U269" i="67" s="1"/>
  <c r="N255" i="67"/>
  <c r="N101" i="67"/>
  <c r="N134" i="67" s="1"/>
  <c r="N219" i="67"/>
  <c r="N207" i="67" s="1"/>
  <c r="I102" i="60"/>
  <c r="I104" i="60" s="1"/>
  <c r="H6" i="46"/>
  <c r="R95" i="67"/>
  <c r="R81" i="45"/>
  <c r="K33" i="67"/>
  <c r="K35" i="67"/>
  <c r="K257" i="67" s="1"/>
  <c r="L98" i="60"/>
  <c r="K33" i="45"/>
  <c r="K41" i="67"/>
  <c r="K71" i="67"/>
  <c r="K57" i="45"/>
  <c r="M9" i="58"/>
  <c r="M58" i="58" s="1"/>
  <c r="M9" i="59"/>
  <c r="L35" i="45"/>
  <c r="L87" i="45"/>
  <c r="L120" i="45" s="1"/>
  <c r="L11" i="26"/>
  <c r="L128" i="45" s="1"/>
  <c r="L236" i="45"/>
  <c r="L225" i="45" s="1"/>
  <c r="N81" i="45"/>
  <c r="N95" i="67"/>
  <c r="S41" i="67"/>
  <c r="S57" i="45"/>
  <c r="S71" i="67"/>
  <c r="T98" i="60"/>
  <c r="S35" i="67"/>
  <c r="S257" i="67" s="1"/>
  <c r="S33" i="67"/>
  <c r="S33" i="45"/>
  <c r="K102" i="60"/>
  <c r="K104" i="60" s="1"/>
  <c r="J6" i="46"/>
  <c r="P33" i="67"/>
  <c r="P57" i="45"/>
  <c r="P71" i="67"/>
  <c r="P33" i="45"/>
  <c r="P35" i="67"/>
  <c r="P257" i="67" s="1"/>
  <c r="Q98" i="60"/>
  <c r="P41" i="67"/>
  <c r="H235" i="45"/>
  <c r="H224" i="45" s="1"/>
  <c r="H45" i="67"/>
  <c r="H39" i="45"/>
  <c r="H207" i="45" s="1"/>
  <c r="H209" i="45" s="1"/>
  <c r="H61" i="45"/>
  <c r="H233" i="45"/>
  <c r="H122" i="45"/>
  <c r="R263" i="67"/>
  <c r="R79" i="67"/>
  <c r="R83" i="67" s="1"/>
  <c r="R88" i="67" s="1"/>
  <c r="R102" i="67"/>
  <c r="R135" i="67" s="1"/>
  <c r="N45" i="67"/>
  <c r="N61" i="45"/>
  <c r="N235" i="45"/>
  <c r="N224" i="45" s="1"/>
  <c r="N122" i="45"/>
  <c r="N39" i="45"/>
  <c r="N207" i="45" s="1"/>
  <c r="N209" i="45" s="1"/>
  <c r="Q101" i="67"/>
  <c r="Q134" i="67" s="1"/>
  <c r="Q255" i="67"/>
  <c r="Q219" i="67"/>
  <c r="Q207" i="67" s="1"/>
  <c r="Q11" i="26"/>
  <c r="Q128" i="45" s="1"/>
  <c r="Q35" i="45"/>
  <c r="Q87" i="45"/>
  <c r="Q120" i="45" s="1"/>
  <c r="Q236" i="45"/>
  <c r="Q225" i="45" s="1"/>
  <c r="O102" i="60"/>
  <c r="N6" i="46"/>
  <c r="Q45" i="67"/>
  <c r="Q61" i="45"/>
  <c r="Q235" i="45"/>
  <c r="Q224" i="45" s="1"/>
  <c r="Q122" i="45"/>
  <c r="Q39" i="45"/>
  <c r="Q207" i="45" s="1"/>
  <c r="Q209" i="45" s="1"/>
  <c r="F122" i="45"/>
  <c r="F235" i="45"/>
  <c r="F224" i="45" s="1"/>
  <c r="F61" i="45"/>
  <c r="F39" i="45"/>
  <c r="F207" i="45" s="1"/>
  <c r="F209" i="45" s="1"/>
  <c r="F233" i="45"/>
  <c r="F45" i="67"/>
  <c r="H101" i="67"/>
  <c r="H134" i="67" s="1"/>
  <c r="H219" i="67"/>
  <c r="H207" i="67" s="1"/>
  <c r="H255" i="67"/>
  <c r="K31" i="45"/>
  <c r="K37" i="45"/>
  <c r="K86" i="45"/>
  <c r="K119" i="45" s="1"/>
  <c r="J32" i="46"/>
  <c r="J33" i="46" s="1"/>
  <c r="J34" i="46" s="1"/>
  <c r="K78" i="58"/>
  <c r="K80" i="58" s="1"/>
  <c r="L77" i="58"/>
  <c r="N10" i="60"/>
  <c r="O9" i="62"/>
  <c r="L102" i="67"/>
  <c r="L135" i="67" s="1"/>
  <c r="L79" i="67"/>
  <c r="L83" i="67" s="1"/>
  <c r="L88" i="67" s="1"/>
  <c r="L263" i="67"/>
  <c r="L6" i="46"/>
  <c r="M102" i="60"/>
  <c r="M104" i="60" s="1"/>
  <c r="G79" i="67"/>
  <c r="G83" i="67" s="1"/>
  <c r="G88" i="67" s="1"/>
  <c r="G102" i="67"/>
  <c r="G135" i="67" s="1"/>
  <c r="G263" i="67"/>
  <c r="G87" i="45"/>
  <c r="G120" i="45" s="1"/>
  <c r="G35" i="45"/>
  <c r="G11" i="26"/>
  <c r="G128" i="45" s="1"/>
  <c r="G236" i="45"/>
  <c r="G225" i="45" s="1"/>
  <c r="F255" i="67"/>
  <c r="F101" i="67"/>
  <c r="F134" i="67" s="1"/>
  <c r="F219" i="67"/>
  <c r="F207" i="67" s="1"/>
  <c r="U441" i="67"/>
  <c r="U429" i="67" s="1"/>
  <c r="U323" i="67"/>
  <c r="U356" i="67" s="1"/>
  <c r="S86" i="45"/>
  <c r="S119" i="45" s="1"/>
  <c r="S37" i="45"/>
  <c r="S31" i="45"/>
  <c r="J11" i="26"/>
  <c r="J128" i="45" s="1"/>
  <c r="J236" i="45"/>
  <c r="J225" i="45" s="1"/>
  <c r="J35" i="45"/>
  <c r="J87" i="45"/>
  <c r="J120" i="45" s="1"/>
  <c r="J102" i="67"/>
  <c r="J135" i="67" s="1"/>
  <c r="J79" i="67"/>
  <c r="J83" i="67" s="1"/>
  <c r="J88" i="67" s="1"/>
  <c r="J263" i="67"/>
  <c r="P31" i="45"/>
  <c r="P37" i="45"/>
  <c r="P86" i="45"/>
  <c r="P119" i="45" s="1"/>
  <c r="F81" i="45"/>
  <c r="F95" i="67"/>
  <c r="O92" i="67"/>
  <c r="O45" i="47"/>
  <c r="O78" i="45"/>
  <c r="Q95" i="67"/>
  <c r="Q81" i="45"/>
  <c r="Q102" i="67"/>
  <c r="Q135" i="67" s="1"/>
  <c r="Q263" i="67"/>
  <c r="Q79" i="67"/>
  <c r="Q83" i="67" s="1"/>
  <c r="Q88" i="67" s="1"/>
  <c r="U37" i="67"/>
  <c r="U259" i="67" s="1"/>
  <c r="V103" i="60"/>
  <c r="U324" i="67"/>
  <c r="U357" i="67" s="1"/>
  <c r="U301" i="67"/>
  <c r="U305" i="67" s="1"/>
  <c r="U310" i="67" s="1"/>
  <c r="S45" i="47"/>
  <c r="S92" i="67"/>
  <c r="S78" i="45"/>
  <c r="R255" i="67"/>
  <c r="R101" i="67"/>
  <c r="R134" i="67" s="1"/>
  <c r="R219" i="67"/>
  <c r="R207" i="67" s="1"/>
  <c r="G235" i="45"/>
  <c r="G224" i="45" s="1"/>
  <c r="G39" i="45"/>
  <c r="G207" i="45" s="1"/>
  <c r="G209" i="45" s="1"/>
  <c r="G122" i="45"/>
  <c r="G45" i="67"/>
  <c r="G233" i="45"/>
  <c r="G61" i="45"/>
  <c r="N263" i="67"/>
  <c r="N79" i="67"/>
  <c r="N83" i="67" s="1"/>
  <c r="N88" i="67" s="1"/>
  <c r="N102" i="67"/>
  <c r="N135" i="67" s="1"/>
  <c r="N11" i="26"/>
  <c r="N128" i="45" s="1"/>
  <c r="N35" i="45"/>
  <c r="N87" i="45"/>
  <c r="N120" i="45" s="1"/>
  <c r="N236" i="45"/>
  <c r="N225" i="45" s="1"/>
  <c r="L122" i="45"/>
  <c r="L61" i="45"/>
  <c r="L39" i="45"/>
  <c r="L207" i="45" s="1"/>
  <c r="L209" i="45" s="1"/>
  <c r="L235" i="45"/>
  <c r="L224" i="45" s="1"/>
  <c r="L45" i="67"/>
  <c r="H87" i="45"/>
  <c r="H120" i="45" s="1"/>
  <c r="H236" i="45"/>
  <c r="H225" i="45" s="1"/>
  <c r="H11" i="26"/>
  <c r="H128" i="45" s="1"/>
  <c r="H35" i="45"/>
  <c r="J61" i="45"/>
  <c r="J39" i="45"/>
  <c r="J207" i="45" s="1"/>
  <c r="J209" i="45" s="1"/>
  <c r="J122" i="45"/>
  <c r="J45" i="67"/>
  <c r="J235" i="45"/>
  <c r="J224" i="45" s="1"/>
  <c r="H36" i="26"/>
  <c r="H38" i="26" s="1"/>
  <c r="H40" i="26" s="1"/>
  <c r="H41" i="26" s="1"/>
  <c r="H42" i="26" s="1"/>
  <c r="H54" i="46"/>
  <c r="H60" i="46" s="1"/>
  <c r="H64" i="46" s="1"/>
  <c r="H28" i="26"/>
  <c r="H30" i="26" s="1"/>
  <c r="H31" i="26" s="1"/>
  <c r="G6" i="46"/>
  <c r="H102" i="60"/>
  <c r="H104" i="60" s="1"/>
  <c r="F102" i="67"/>
  <c r="F135" i="67" s="1"/>
  <c r="F263" i="67"/>
  <c r="F79" i="67"/>
  <c r="F83" i="67" s="1"/>
  <c r="F88" i="67" s="1"/>
  <c r="F43" i="67"/>
  <c r="F265" i="67" s="1"/>
  <c r="F6" i="46"/>
  <c r="G102" i="60"/>
  <c r="J219" i="67"/>
  <c r="J207" i="67" s="1"/>
  <c r="J255" i="67"/>
  <c r="J101" i="67"/>
  <c r="J134" i="67" s="1"/>
  <c r="R39" i="45"/>
  <c r="R207" i="45" s="1"/>
  <c r="R209" i="45" s="1"/>
  <c r="R235" i="45"/>
  <c r="R224" i="45" s="1"/>
  <c r="R45" i="67"/>
  <c r="R61" i="45"/>
  <c r="R122" i="45"/>
  <c r="R11" i="26"/>
  <c r="R128" i="45" s="1"/>
  <c r="R87" i="45"/>
  <c r="R120" i="45" s="1"/>
  <c r="R35" i="45"/>
  <c r="R236" i="45"/>
  <c r="R225" i="45" s="1"/>
  <c r="O86" i="45"/>
  <c r="O119" i="45" s="1"/>
  <c r="O31" i="45"/>
  <c r="O37" i="45"/>
  <c r="U88" i="45"/>
  <c r="U121" i="45" s="1"/>
  <c r="U2" i="26"/>
  <c r="U65" i="45"/>
  <c r="U69" i="45" s="1"/>
  <c r="U74" i="45" s="1"/>
  <c r="G108" i="67"/>
  <c r="G94" i="45"/>
  <c r="G32" i="26"/>
  <c r="G37" i="28"/>
  <c r="G70" i="28"/>
  <c r="G26" i="26"/>
  <c r="G79" i="28"/>
  <c r="G34" i="26"/>
  <c r="G1" i="26"/>
  <c r="I53" i="62"/>
  <c r="I66" i="62"/>
  <c r="I199" i="62"/>
  <c r="G83" i="45"/>
  <c r="G63" i="45"/>
  <c r="G76" i="45"/>
  <c r="G115" i="45"/>
  <c r="G173" i="45"/>
  <c r="G140" i="45"/>
  <c r="G158" i="45"/>
  <c r="G3" i="68" s="1"/>
  <c r="G15" i="68" s="1"/>
  <c r="G229" i="45"/>
  <c r="G124" i="45"/>
  <c r="G219" i="45"/>
  <c r="G189" i="45"/>
  <c r="G199" i="45"/>
  <c r="G97" i="45"/>
  <c r="G181" i="45"/>
  <c r="H2" i="47"/>
  <c r="H23" i="47" s="1"/>
  <c r="H34" i="47" s="1"/>
  <c r="I56" i="60"/>
  <c r="H2" i="46"/>
  <c r="H17" i="46" s="1"/>
  <c r="H41" i="46" s="1"/>
  <c r="H8" i="26"/>
  <c r="H3" i="67"/>
  <c r="I10" i="58"/>
  <c r="I59" i="58" s="1"/>
  <c r="H2" i="28"/>
  <c r="A102" i="51"/>
  <c r="H3" i="45"/>
  <c r="I10" i="59"/>
  <c r="I58" i="59" s="1"/>
  <c r="F312" i="67"/>
  <c r="F434" i="67"/>
  <c r="F319" i="67"/>
  <c r="F380" i="67"/>
  <c r="F401" i="67"/>
  <c r="F351" i="67"/>
  <c r="F333" i="67"/>
  <c r="F423" i="67"/>
  <c r="F361" i="67"/>
  <c r="F299" i="67"/>
  <c r="G225" i="67"/>
  <c r="G97" i="67"/>
  <c r="G139" i="67"/>
  <c r="G111" i="67"/>
  <c r="G212" i="67"/>
  <c r="G90" i="67"/>
  <c r="G129" i="67"/>
  <c r="G179" i="67"/>
  <c r="G158" i="67"/>
  <c r="G201" i="67"/>
  <c r="G77" i="67"/>
  <c r="G9" i="51"/>
  <c r="G2" i="51" s="1"/>
  <c r="B88" i="51"/>
  <c r="C88" i="51" s="1"/>
  <c r="D88" i="51" s="1"/>
  <c r="E88" i="51" s="1"/>
  <c r="F88" i="51" s="1"/>
  <c r="G88" i="51" s="1"/>
  <c r="H88" i="51" s="1"/>
  <c r="I88" i="51" s="1"/>
  <c r="K88" i="51" s="1"/>
  <c r="L88" i="51" s="1"/>
  <c r="M88" i="51" s="1"/>
  <c r="N88" i="51" s="1"/>
  <c r="O88" i="51" s="1"/>
  <c r="Q74" i="51"/>
  <c r="R74" i="51" s="1"/>
  <c r="S74" i="51" s="1"/>
  <c r="T74" i="51" s="1"/>
  <c r="U74" i="51" s="1"/>
  <c r="V74" i="51" s="1"/>
  <c r="W74" i="51" s="1"/>
  <c r="X74" i="51" s="1"/>
  <c r="P74" i="51"/>
  <c r="J11" i="60"/>
  <c r="J24" i="62"/>
  <c r="J15" i="62"/>
  <c r="K45" i="47" l="1"/>
  <c r="K78" i="45"/>
  <c r="G51" i="45"/>
  <c r="G232" i="45" s="1"/>
  <c r="G61" i="67"/>
  <c r="H81" i="45"/>
  <c r="H167" i="67"/>
  <c r="H123" i="67" s="1"/>
  <c r="H61" i="67"/>
  <c r="H51" i="45"/>
  <c r="H232" i="45" s="1"/>
  <c r="H201" i="45" s="1"/>
  <c r="H203" i="45" s="1"/>
  <c r="H251" i="67"/>
  <c r="H100" i="67"/>
  <c r="H133" i="67" s="1"/>
  <c r="H283" i="67"/>
  <c r="H437" i="67" s="1"/>
  <c r="H215" i="67"/>
  <c r="H5" i="68"/>
  <c r="H166" i="45"/>
  <c r="H105" i="45" s="1"/>
  <c r="H162" i="45"/>
  <c r="H163" i="45" s="1"/>
  <c r="H107" i="45"/>
  <c r="H194" i="45"/>
  <c r="H6" i="68"/>
  <c r="H167" i="45"/>
  <c r="H109" i="45" s="1"/>
  <c r="H184" i="67"/>
  <c r="H121" i="67"/>
  <c r="H166" i="67"/>
  <c r="H119" i="67" s="1"/>
  <c r="H162" i="67"/>
  <c r="H163" i="67" s="1"/>
  <c r="H31" i="67"/>
  <c r="H220" i="67"/>
  <c r="H237" i="45"/>
  <c r="H168" i="45"/>
  <c r="G251" i="67"/>
  <c r="G100" i="67"/>
  <c r="G133" i="67" s="1"/>
  <c r="G182" i="67"/>
  <c r="G81" i="45"/>
  <c r="G162" i="67"/>
  <c r="G163" i="67" s="1"/>
  <c r="G121" i="67"/>
  <c r="G166" i="67"/>
  <c r="G119" i="67" s="1"/>
  <c r="G184" i="67"/>
  <c r="G167" i="67"/>
  <c r="G123" i="67" s="1"/>
  <c r="G168" i="67"/>
  <c r="G162" i="45"/>
  <c r="G163" i="45" s="1"/>
  <c r="G194" i="45"/>
  <c r="G5" i="68"/>
  <c r="G107" i="45"/>
  <c r="G166" i="45"/>
  <c r="G105" i="45" s="1"/>
  <c r="G6" i="68"/>
  <c r="G167" i="45"/>
  <c r="G109" i="45" s="1"/>
  <c r="G201" i="45"/>
  <c r="G203" i="45" s="1"/>
  <c r="G222" i="45"/>
  <c r="G181" i="67"/>
  <c r="G117" i="67" s="1"/>
  <c r="G234" i="45"/>
  <c r="G27" i="67"/>
  <c r="G249" i="67" s="1"/>
  <c r="G192" i="45"/>
  <c r="G217" i="67"/>
  <c r="G191" i="45"/>
  <c r="G103" i="45" s="1"/>
  <c r="G215" i="67"/>
  <c r="G283" i="67"/>
  <c r="G437" i="67" s="1"/>
  <c r="G31" i="67"/>
  <c r="G220" i="67"/>
  <c r="G237" i="45"/>
  <c r="L61" i="67"/>
  <c r="L201" i="45"/>
  <c r="L203" i="45" s="1"/>
  <c r="L222" i="45"/>
  <c r="L251" i="67"/>
  <c r="L100" i="67"/>
  <c r="L133" i="67" s="1"/>
  <c r="L184" i="67"/>
  <c r="L162" i="67"/>
  <c r="L163" i="67" s="1"/>
  <c r="L121" i="67"/>
  <c r="L166" i="67"/>
  <c r="L119" i="67" s="1"/>
  <c r="L215" i="67"/>
  <c r="L283" i="67"/>
  <c r="L437" i="67" s="1"/>
  <c r="L6" i="68"/>
  <c r="L167" i="45"/>
  <c r="L109" i="45" s="1"/>
  <c r="L5" i="68"/>
  <c r="L162" i="45"/>
  <c r="L163" i="45" s="1"/>
  <c r="L166" i="45"/>
  <c r="L105" i="45" s="1"/>
  <c r="L107" i="45"/>
  <c r="L194" i="45"/>
  <c r="L168" i="67"/>
  <c r="L167" i="67"/>
  <c r="L123" i="67" s="1"/>
  <c r="L47" i="58"/>
  <c r="K51" i="45" s="1"/>
  <c r="K232" i="45" s="1"/>
  <c r="K161" i="67"/>
  <c r="K161" i="45"/>
  <c r="K160" i="45"/>
  <c r="K29" i="67"/>
  <c r="K160" i="67"/>
  <c r="L21" i="47"/>
  <c r="J61" i="67"/>
  <c r="J283" i="67" s="1"/>
  <c r="J437" i="67" s="1"/>
  <c r="J201" i="45"/>
  <c r="J203" i="45" s="1"/>
  <c r="J222" i="45"/>
  <c r="J45" i="59"/>
  <c r="J28" i="58"/>
  <c r="I20" i="47"/>
  <c r="J167" i="67"/>
  <c r="J123" i="67" s="1"/>
  <c r="J184" i="67"/>
  <c r="J166" i="67"/>
  <c r="J119" i="67" s="1"/>
  <c r="J121" i="67"/>
  <c r="J162" i="67"/>
  <c r="J163" i="67" s="1"/>
  <c r="J168" i="45"/>
  <c r="J5" i="68"/>
  <c r="J162" i="45"/>
  <c r="J163" i="45" s="1"/>
  <c r="J107" i="45"/>
  <c r="J194" i="45"/>
  <c r="J166" i="45"/>
  <c r="J105" i="45" s="1"/>
  <c r="J6" i="68"/>
  <c r="J167" i="45"/>
  <c r="J109" i="45" s="1"/>
  <c r="J100" i="67"/>
  <c r="J133" i="67" s="1"/>
  <c r="J251" i="67"/>
  <c r="J168" i="67"/>
  <c r="I132" i="67"/>
  <c r="I247" i="67"/>
  <c r="I354" i="67" s="1"/>
  <c r="I4" i="47"/>
  <c r="I9" i="47" s="1"/>
  <c r="I29" i="45"/>
  <c r="J95" i="60"/>
  <c r="I27" i="45"/>
  <c r="I118" i="45"/>
  <c r="AA15" i="31"/>
  <c r="AB15" i="31"/>
  <c r="AC6" i="31"/>
  <c r="AD6" i="31"/>
  <c r="AA7" i="31"/>
  <c r="AB7" i="31" s="1"/>
  <c r="Y12" i="31"/>
  <c r="Z12" i="31"/>
  <c r="AG17" i="31"/>
  <c r="AH17" i="31" s="1"/>
  <c r="AC14" i="31"/>
  <c r="AD14" i="31"/>
  <c r="Y13" i="31"/>
  <c r="Z13" i="31" s="1"/>
  <c r="AC11" i="31"/>
  <c r="AD11" i="31"/>
  <c r="AA9" i="31"/>
  <c r="AB9" i="31" s="1"/>
  <c r="AE18" i="31"/>
  <c r="AF18" i="31"/>
  <c r="E27" i="51"/>
  <c r="U26" i="51"/>
  <c r="M132" i="67"/>
  <c r="M247" i="67"/>
  <c r="M354" i="67" s="1"/>
  <c r="B73" i="28"/>
  <c r="B81" i="28"/>
  <c r="B82" i="28" s="1"/>
  <c r="B83" i="28" s="1"/>
  <c r="Q26" i="51"/>
  <c r="O27" i="51"/>
  <c r="AG16" i="31"/>
  <c r="AH16" i="31"/>
  <c r="E103" i="60"/>
  <c r="D39" i="67"/>
  <c r="D261" i="67" s="1"/>
  <c r="D37" i="67"/>
  <c r="D259" i="67" s="1"/>
  <c r="M85" i="28"/>
  <c r="M88" i="28" s="1"/>
  <c r="M75" i="28" s="1"/>
  <c r="M90" i="28"/>
  <c r="B195" i="67"/>
  <c r="B196" i="67" s="1"/>
  <c r="B63" i="67"/>
  <c r="B285" i="67" s="1"/>
  <c r="B205" i="67"/>
  <c r="B271" i="67"/>
  <c r="B415" i="67" s="1"/>
  <c r="B416" i="67" s="1"/>
  <c r="B193" i="67"/>
  <c r="B194" i="67" s="1"/>
  <c r="AM3" i="31"/>
  <c r="P23" i="31"/>
  <c r="AL3" i="31"/>
  <c r="T37" i="67"/>
  <c r="T259" i="67" s="1"/>
  <c r="U103" i="60"/>
  <c r="D223" i="45"/>
  <c r="D210" i="45"/>
  <c r="D212" i="45" s="1"/>
  <c r="I28" i="51"/>
  <c r="W27" i="51"/>
  <c r="D301" i="67"/>
  <c r="D305" i="67" s="1"/>
  <c r="D310" i="67" s="1"/>
  <c r="D324" i="67"/>
  <c r="D357" i="67" s="1"/>
  <c r="T267" i="67"/>
  <c r="T136" i="67"/>
  <c r="T75" i="67"/>
  <c r="T218" i="67"/>
  <c r="T206" i="67" s="1"/>
  <c r="T49" i="67"/>
  <c r="T47" i="67"/>
  <c r="T269" i="67" s="1"/>
  <c r="M118" i="45"/>
  <c r="M27" i="45"/>
  <c r="AH5" i="31"/>
  <c r="AG5" i="31"/>
  <c r="T88" i="45"/>
  <c r="T121" i="45" s="1"/>
  <c r="T2" i="26"/>
  <c r="T65" i="45"/>
  <c r="T69" i="45" s="1"/>
  <c r="T74" i="45" s="1"/>
  <c r="B438" i="67"/>
  <c r="B358" i="67"/>
  <c r="B297" i="67"/>
  <c r="B440" i="67"/>
  <c r="B428" i="67" s="1"/>
  <c r="D323" i="67"/>
  <c r="D356" i="67" s="1"/>
  <c r="D441" i="67"/>
  <c r="D429" i="67" s="1"/>
  <c r="N25" i="51"/>
  <c r="D75" i="67"/>
  <c r="D218" i="67"/>
  <c r="D206" i="67" s="1"/>
  <c r="D216" i="67"/>
  <c r="D47" i="67"/>
  <c r="D269" i="67" s="1"/>
  <c r="D267" i="67"/>
  <c r="D136" i="67"/>
  <c r="D49" i="67"/>
  <c r="E85" i="28"/>
  <c r="E88" i="28" s="1"/>
  <c r="E75" i="28" s="1"/>
  <c r="E90" i="28"/>
  <c r="V27" i="51"/>
  <c r="G28" i="51"/>
  <c r="T301" i="67"/>
  <c r="T305" i="67" s="1"/>
  <c r="T310" i="67" s="1"/>
  <c r="T324" i="67"/>
  <c r="T357" i="67" s="1"/>
  <c r="D65" i="45"/>
  <c r="D69" i="45" s="1"/>
  <c r="D74" i="45" s="1"/>
  <c r="D88" i="45"/>
  <c r="D121" i="45" s="1"/>
  <c r="D2" i="26"/>
  <c r="N95" i="60"/>
  <c r="M29" i="45"/>
  <c r="M4" i="47"/>
  <c r="M9" i="47" s="1"/>
  <c r="M21" i="47" s="1"/>
  <c r="T441" i="67"/>
  <c r="T429" i="67" s="1"/>
  <c r="T323" i="67"/>
  <c r="T356" i="67" s="1"/>
  <c r="X33" i="51"/>
  <c r="L34" i="51"/>
  <c r="C11" i="51"/>
  <c r="C27" i="51"/>
  <c r="T26" i="51"/>
  <c r="B36" i="46"/>
  <c r="B38" i="46" s="1"/>
  <c r="B39" i="46" s="1"/>
  <c r="B66" i="46" s="1"/>
  <c r="C101" i="58"/>
  <c r="C103" i="58" s="1"/>
  <c r="U4" i="31"/>
  <c r="U19" i="31" s="1"/>
  <c r="H24" i="31" s="1"/>
  <c r="T19" i="31"/>
  <c r="AA8" i="31"/>
  <c r="AB8" i="31"/>
  <c r="AG10" i="31"/>
  <c r="AH10" i="31"/>
  <c r="C37" i="67"/>
  <c r="C259" i="67" s="1"/>
  <c r="D96" i="58"/>
  <c r="C39" i="67"/>
  <c r="C261" i="67" s="1"/>
  <c r="D103" i="60"/>
  <c r="E43" i="67"/>
  <c r="E265" i="67" s="1"/>
  <c r="E79" i="67"/>
  <c r="E83" i="67" s="1"/>
  <c r="E88" i="67" s="1"/>
  <c r="E263" i="67"/>
  <c r="E102" i="67"/>
  <c r="E135" i="67" s="1"/>
  <c r="C15" i="46"/>
  <c r="D4" i="46"/>
  <c r="D13" i="46" s="1"/>
  <c r="E39" i="45"/>
  <c r="E207" i="45" s="1"/>
  <c r="E209" i="45" s="1"/>
  <c r="E45" i="67"/>
  <c r="E235" i="45"/>
  <c r="E224" i="45" s="1"/>
  <c r="E61" i="45"/>
  <c r="E233" i="45"/>
  <c r="E122" i="45"/>
  <c r="E236" i="45"/>
  <c r="E225" i="45" s="1"/>
  <c r="E11" i="26"/>
  <c r="E128" i="45" s="1"/>
  <c r="E35" i="45"/>
  <c r="E87" i="45"/>
  <c r="E120" i="45" s="1"/>
  <c r="F102" i="60"/>
  <c r="E6" i="46"/>
  <c r="C136" i="67"/>
  <c r="C47" i="67"/>
  <c r="C269" i="67" s="1"/>
  <c r="C75" i="67"/>
  <c r="C218" i="67"/>
  <c r="C206" i="67" s="1"/>
  <c r="C216" i="67"/>
  <c r="C267" i="67"/>
  <c r="C49" i="67"/>
  <c r="E95" i="67"/>
  <c r="E81" i="45"/>
  <c r="C301" i="67"/>
  <c r="C305" i="67" s="1"/>
  <c r="C310" i="67" s="1"/>
  <c r="C324" i="67"/>
  <c r="C357" i="67" s="1"/>
  <c r="C65" i="45"/>
  <c r="C69" i="45" s="1"/>
  <c r="C74" i="45" s="1"/>
  <c r="C2" i="26"/>
  <c r="C88" i="45"/>
  <c r="C121" i="45" s="1"/>
  <c r="E101" i="67"/>
  <c r="E134" i="67" s="1"/>
  <c r="E255" i="67"/>
  <c r="E219" i="67"/>
  <c r="E207" i="67" s="1"/>
  <c r="C223" i="45"/>
  <c r="C210" i="45"/>
  <c r="C212" i="45" s="1"/>
  <c r="D47" i="47"/>
  <c r="D48" i="47" s="1"/>
  <c r="C50" i="47"/>
  <c r="L85" i="59"/>
  <c r="J61" i="46"/>
  <c r="J63" i="46" s="1"/>
  <c r="J12" i="46"/>
  <c r="K87" i="59"/>
  <c r="K93" i="59" s="1"/>
  <c r="J216" i="67" s="1"/>
  <c r="C441" i="67"/>
  <c r="C429" i="67" s="1"/>
  <c r="C323" i="67"/>
  <c r="C356" i="67" s="1"/>
  <c r="R88" i="45"/>
  <c r="R121" i="45" s="1"/>
  <c r="R2" i="26"/>
  <c r="R65" i="45"/>
  <c r="R69" i="45" s="1"/>
  <c r="R74" i="45" s="1"/>
  <c r="R136" i="67"/>
  <c r="R267" i="67"/>
  <c r="R75" i="67"/>
  <c r="R47" i="67"/>
  <c r="R269" i="67" s="1"/>
  <c r="R218" i="67"/>
  <c r="R206" i="67" s="1"/>
  <c r="R49" i="67"/>
  <c r="J441" i="67"/>
  <c r="J429" i="67" s="1"/>
  <c r="J323" i="67"/>
  <c r="J356" i="67" s="1"/>
  <c r="F39" i="67"/>
  <c r="F261" i="67" s="1"/>
  <c r="F37" i="67"/>
  <c r="F259" i="67" s="1"/>
  <c r="G103" i="60"/>
  <c r="F324" i="67"/>
  <c r="F357" i="67" s="1"/>
  <c r="F301" i="67"/>
  <c r="F305" i="67" s="1"/>
  <c r="F310" i="67" s="1"/>
  <c r="N88" i="45"/>
  <c r="N121" i="45" s="1"/>
  <c r="N2" i="26"/>
  <c r="N65" i="45"/>
  <c r="N69" i="45" s="1"/>
  <c r="N74" i="45" s="1"/>
  <c r="H216" i="67"/>
  <c r="H218" i="67"/>
  <c r="H206" i="67" s="1"/>
  <c r="H49" i="67"/>
  <c r="H75" i="67"/>
  <c r="H136" i="67"/>
  <c r="H267" i="67"/>
  <c r="H47" i="67"/>
  <c r="H269" i="67" s="1"/>
  <c r="P219" i="67"/>
  <c r="P207" i="67" s="1"/>
  <c r="P255" i="67"/>
  <c r="P101" i="67"/>
  <c r="P134" i="67" s="1"/>
  <c r="K236" i="45"/>
  <c r="K225" i="45" s="1"/>
  <c r="K35" i="45"/>
  <c r="K11" i="26"/>
  <c r="K128" i="45" s="1"/>
  <c r="K87" i="45"/>
  <c r="K120" i="45" s="1"/>
  <c r="K255" i="67"/>
  <c r="K101" i="67"/>
  <c r="K134" i="67" s="1"/>
  <c r="K219" i="67"/>
  <c r="K207" i="67" s="1"/>
  <c r="O236" i="45"/>
  <c r="O225" i="45" s="1"/>
  <c r="O11" i="26"/>
  <c r="O128" i="45" s="1"/>
  <c r="O35" i="45"/>
  <c r="O87" i="45"/>
  <c r="O120" i="45" s="1"/>
  <c r="R37" i="67"/>
  <c r="R259" i="67" s="1"/>
  <c r="S103" i="60"/>
  <c r="I28" i="26"/>
  <c r="I30" i="26" s="1"/>
  <c r="I31" i="26" s="1"/>
  <c r="I54" i="46"/>
  <c r="I36" i="26"/>
  <c r="I38" i="26" s="1"/>
  <c r="I40" i="26" s="1"/>
  <c r="I41" i="26" s="1"/>
  <c r="I42" i="26" s="1"/>
  <c r="N324" i="67"/>
  <c r="N357" i="67" s="1"/>
  <c r="N301" i="67"/>
  <c r="N305" i="67" s="1"/>
  <c r="N310" i="67" s="1"/>
  <c r="R441" i="67"/>
  <c r="R429" i="67" s="1"/>
  <c r="R323" i="67"/>
  <c r="R356" i="67" s="1"/>
  <c r="J31" i="67"/>
  <c r="J220" i="67"/>
  <c r="J237" i="45"/>
  <c r="K39" i="45"/>
  <c r="K207" i="45" s="1"/>
  <c r="K209" i="45" s="1"/>
  <c r="K45" i="67"/>
  <c r="K235" i="45"/>
  <c r="K224" i="45" s="1"/>
  <c r="K61" i="45"/>
  <c r="K122" i="45"/>
  <c r="Q75" i="67"/>
  <c r="Q47" i="67"/>
  <c r="Q269" i="67" s="1"/>
  <c r="Q136" i="67"/>
  <c r="Q218" i="67"/>
  <c r="Q206" i="67" s="1"/>
  <c r="Q49" i="67"/>
  <c r="Q267" i="67"/>
  <c r="N75" i="67"/>
  <c r="N218" i="67"/>
  <c r="N206" i="67" s="1"/>
  <c r="N267" i="67"/>
  <c r="N136" i="67"/>
  <c r="N47" i="67"/>
  <c r="N269" i="67" s="1"/>
  <c r="N49" i="67"/>
  <c r="H223" i="45"/>
  <c r="H210" i="45"/>
  <c r="H212" i="45" s="1"/>
  <c r="S263" i="67"/>
  <c r="S79" i="67"/>
  <c r="S83" i="67" s="1"/>
  <c r="S88" i="67" s="1"/>
  <c r="S102" i="67"/>
  <c r="S135" i="67" s="1"/>
  <c r="L65" i="45"/>
  <c r="L69" i="45" s="1"/>
  <c r="L74" i="45" s="1"/>
  <c r="L88" i="45"/>
  <c r="L121" i="45" s="1"/>
  <c r="L2" i="26"/>
  <c r="L12" i="26" s="1"/>
  <c r="L102" i="60"/>
  <c r="L104" i="60" s="1"/>
  <c r="K6" i="46"/>
  <c r="H37" i="67"/>
  <c r="H259" i="67" s="1"/>
  <c r="H39" i="67"/>
  <c r="H261" i="67" s="1"/>
  <c r="I103" i="60"/>
  <c r="U440" i="67"/>
  <c r="U428" i="67" s="1"/>
  <c r="U297" i="67"/>
  <c r="U438" i="67"/>
  <c r="U358" i="67"/>
  <c r="R103" i="60"/>
  <c r="Q37" i="67"/>
  <c r="Q259" i="67" s="1"/>
  <c r="P102" i="60"/>
  <c r="O6" i="46"/>
  <c r="O263" i="67"/>
  <c r="O79" i="67"/>
  <c r="O83" i="67" s="1"/>
  <c r="O88" i="67" s="1"/>
  <c r="O102" i="67"/>
  <c r="O135" i="67" s="1"/>
  <c r="L323" i="67"/>
  <c r="L356" i="67" s="1"/>
  <c r="L441" i="67"/>
  <c r="L429" i="67" s="1"/>
  <c r="H103" i="60"/>
  <c r="G39" i="67"/>
  <c r="G261" i="67" s="1"/>
  <c r="G37" i="67"/>
  <c r="G259" i="67" s="1"/>
  <c r="H32" i="26"/>
  <c r="H108" i="67"/>
  <c r="H94" i="45"/>
  <c r="H2" i="26"/>
  <c r="H12" i="26" s="1"/>
  <c r="H88" i="45"/>
  <c r="H121" i="45" s="1"/>
  <c r="H65" i="45"/>
  <c r="H69" i="45" s="1"/>
  <c r="H74" i="45" s="1"/>
  <c r="L49" i="67"/>
  <c r="L267" i="67"/>
  <c r="L75" i="67"/>
  <c r="L218" i="67"/>
  <c r="L206" i="67" s="1"/>
  <c r="L47" i="67"/>
  <c r="L269" i="67" s="1"/>
  <c r="L136" i="67"/>
  <c r="G223" i="45"/>
  <c r="G210" i="45"/>
  <c r="G212" i="45" s="1"/>
  <c r="O95" i="67"/>
  <c r="O81" i="45"/>
  <c r="G65" i="45"/>
  <c r="G69" i="45" s="1"/>
  <c r="G74" i="45" s="1"/>
  <c r="G88" i="45"/>
  <c r="G121" i="45" s="1"/>
  <c r="G2" i="26"/>
  <c r="G12" i="26" s="1"/>
  <c r="L301" i="67"/>
  <c r="L305" i="67" s="1"/>
  <c r="L310" i="67" s="1"/>
  <c r="L324" i="67"/>
  <c r="L357" i="67" s="1"/>
  <c r="O10" i="60"/>
  <c r="P9" i="62"/>
  <c r="F136" i="67"/>
  <c r="F216" i="67"/>
  <c r="F267" i="67"/>
  <c r="F47" i="67"/>
  <c r="F269" i="67" s="1"/>
  <c r="F49" i="67"/>
  <c r="F75" i="67"/>
  <c r="F218" i="67"/>
  <c r="F206" i="67" s="1"/>
  <c r="Q441" i="67"/>
  <c r="Q429" i="67" s="1"/>
  <c r="Q323" i="67"/>
  <c r="Q356" i="67" s="1"/>
  <c r="P263" i="67"/>
  <c r="P79" i="67"/>
  <c r="P83" i="67" s="1"/>
  <c r="P88" i="67" s="1"/>
  <c r="P102" i="67"/>
  <c r="P135" i="67" s="1"/>
  <c r="J37" i="67"/>
  <c r="J259" i="67" s="1"/>
  <c r="K103" i="60"/>
  <c r="S101" i="67"/>
  <c r="S134" i="67" s="1"/>
  <c r="S255" i="67"/>
  <c r="S219" i="67"/>
  <c r="S207" i="67" s="1"/>
  <c r="T102" i="60"/>
  <c r="S6" i="46"/>
  <c r="P95" i="67"/>
  <c r="P81" i="45"/>
  <c r="F65" i="45"/>
  <c r="F69" i="45" s="1"/>
  <c r="F74" i="45" s="1"/>
  <c r="F2" i="26"/>
  <c r="F88" i="45"/>
  <c r="F121" i="45" s="1"/>
  <c r="S81" i="45"/>
  <c r="S95" i="67"/>
  <c r="Q324" i="67"/>
  <c r="Q357" i="67" s="1"/>
  <c r="Q301" i="67"/>
  <c r="Q305" i="67" s="1"/>
  <c r="Q310" i="67" s="1"/>
  <c r="S45" i="67"/>
  <c r="S122" i="45"/>
  <c r="S39" i="45"/>
  <c r="S207" i="45" s="1"/>
  <c r="S209" i="45" s="1"/>
  <c r="S61" i="45"/>
  <c r="S235" i="45"/>
  <c r="S224" i="45" s="1"/>
  <c r="G301" i="67"/>
  <c r="G305" i="67" s="1"/>
  <c r="G310" i="67" s="1"/>
  <c r="G324" i="67"/>
  <c r="G357" i="67" s="1"/>
  <c r="L37" i="67"/>
  <c r="L259" i="67" s="1"/>
  <c r="M103" i="60"/>
  <c r="K32" i="46"/>
  <c r="K33" i="46" s="1"/>
  <c r="K34" i="46" s="1"/>
  <c r="L78" i="58"/>
  <c r="M77" i="58"/>
  <c r="P35" i="45"/>
  <c r="P236" i="45"/>
  <c r="P225" i="45" s="1"/>
  <c r="P11" i="26"/>
  <c r="P128" i="45" s="1"/>
  <c r="P87" i="45"/>
  <c r="P120" i="45" s="1"/>
  <c r="N441" i="67"/>
  <c r="N429" i="67" s="1"/>
  <c r="N323" i="67"/>
  <c r="N356" i="67" s="1"/>
  <c r="O61" i="45"/>
  <c r="O122" i="45"/>
  <c r="O39" i="45"/>
  <c r="O207" i="45" s="1"/>
  <c r="O209" i="45" s="1"/>
  <c r="O235" i="45"/>
  <c r="O224" i="45" s="1"/>
  <c r="O45" i="67"/>
  <c r="K81" i="45"/>
  <c r="K95" i="67"/>
  <c r="J75" i="67"/>
  <c r="J136" i="67"/>
  <c r="J267" i="67"/>
  <c r="J218" i="67"/>
  <c r="J206" i="67" s="1"/>
  <c r="J47" i="67"/>
  <c r="J269" i="67" s="1"/>
  <c r="J49" i="67"/>
  <c r="G47" i="67"/>
  <c r="G269" i="67" s="1"/>
  <c r="G216" i="67"/>
  <c r="G136" i="67"/>
  <c r="G218" i="67"/>
  <c r="G206" i="67" s="1"/>
  <c r="G267" i="67"/>
  <c r="G75" i="67"/>
  <c r="G49" i="67"/>
  <c r="P122" i="45"/>
  <c r="P45" i="67"/>
  <c r="P61" i="45"/>
  <c r="P39" i="45"/>
  <c r="P207" i="45" s="1"/>
  <c r="P209" i="45" s="1"/>
  <c r="P235" i="45"/>
  <c r="P224" i="45" s="1"/>
  <c r="J324" i="67"/>
  <c r="J357" i="67" s="1"/>
  <c r="J301" i="67"/>
  <c r="J305" i="67" s="1"/>
  <c r="J310" i="67" s="1"/>
  <c r="J88" i="45"/>
  <c r="J121" i="45" s="1"/>
  <c r="J2" i="26"/>
  <c r="J12" i="26" s="1"/>
  <c r="J65" i="45"/>
  <c r="J69" i="45" s="1"/>
  <c r="J74" i="45" s="1"/>
  <c r="F441" i="67"/>
  <c r="F429" i="67" s="1"/>
  <c r="F323" i="67"/>
  <c r="F356" i="67" s="1"/>
  <c r="N9" i="59"/>
  <c r="N9" i="58"/>
  <c r="N58" i="58" s="1"/>
  <c r="H441" i="67"/>
  <c r="H429" i="67" s="1"/>
  <c r="H323" i="67"/>
  <c r="H356" i="67" s="1"/>
  <c r="F223" i="45"/>
  <c r="F210" i="45"/>
  <c r="F212" i="45" s="1"/>
  <c r="N37" i="67"/>
  <c r="N259" i="67" s="1"/>
  <c r="O103" i="60"/>
  <c r="Q2" i="26"/>
  <c r="Q65" i="45"/>
  <c r="Q69" i="45" s="1"/>
  <c r="Q74" i="45" s="1"/>
  <c r="Q88" i="45"/>
  <c r="Q121" i="45" s="1"/>
  <c r="R324" i="67"/>
  <c r="R357" i="67" s="1"/>
  <c r="R301" i="67"/>
  <c r="R305" i="67" s="1"/>
  <c r="R310" i="67" s="1"/>
  <c r="P6" i="46"/>
  <c r="Q102" i="60"/>
  <c r="S236" i="45"/>
  <c r="S225" i="45" s="1"/>
  <c r="S11" i="26"/>
  <c r="S128" i="45" s="1"/>
  <c r="S35" i="45"/>
  <c r="S87" i="45"/>
  <c r="S120" i="45" s="1"/>
  <c r="K263" i="67"/>
  <c r="K79" i="67"/>
  <c r="K83" i="67" s="1"/>
  <c r="K88" i="67" s="1"/>
  <c r="K102" i="67"/>
  <c r="K135" i="67" s="1"/>
  <c r="U193" i="67"/>
  <c r="U194" i="67" s="1"/>
  <c r="U271" i="67"/>
  <c r="U415" i="67" s="1"/>
  <c r="U416" i="67" s="1"/>
  <c r="O219" i="67"/>
  <c r="O207" i="67" s="1"/>
  <c r="O255" i="67"/>
  <c r="O101" i="67"/>
  <c r="O134" i="67" s="1"/>
  <c r="G441" i="67"/>
  <c r="G429" i="67" s="1"/>
  <c r="G323" i="67"/>
  <c r="G356" i="67" s="1"/>
  <c r="L62" i="59"/>
  <c r="K64" i="59"/>
  <c r="J53" i="46"/>
  <c r="H324" i="67"/>
  <c r="H357" i="67" s="1"/>
  <c r="H301" i="67"/>
  <c r="H305" i="67" s="1"/>
  <c r="H310" i="67" s="1"/>
  <c r="K24" i="62"/>
  <c r="K15" i="62"/>
  <c r="K11" i="60"/>
  <c r="H79" i="28"/>
  <c r="H26" i="26"/>
  <c r="H1" i="26"/>
  <c r="H34" i="26"/>
  <c r="J56" i="60"/>
  <c r="I2" i="46"/>
  <c r="I17" i="46" s="1"/>
  <c r="I41" i="46" s="1"/>
  <c r="I2" i="47"/>
  <c r="I23" i="47" s="1"/>
  <c r="I34" i="47" s="1"/>
  <c r="I2" i="28"/>
  <c r="J10" i="58"/>
  <c r="J59" i="58" s="1"/>
  <c r="I3" i="45"/>
  <c r="I3" i="67"/>
  <c r="A116" i="51"/>
  <c r="J10" i="59"/>
  <c r="J58" i="59" s="1"/>
  <c r="I8" i="26"/>
  <c r="G299" i="67"/>
  <c r="G312" i="67"/>
  <c r="G434" i="67"/>
  <c r="G380" i="67"/>
  <c r="G423" i="67"/>
  <c r="G333" i="67"/>
  <c r="G361" i="67"/>
  <c r="G319" i="67"/>
  <c r="G351" i="67"/>
  <c r="G401" i="67"/>
  <c r="H179" i="67"/>
  <c r="H129" i="67"/>
  <c r="H77" i="67"/>
  <c r="H212" i="67"/>
  <c r="H90" i="67"/>
  <c r="H201" i="67"/>
  <c r="H111" i="67"/>
  <c r="H97" i="67"/>
  <c r="H139" i="67"/>
  <c r="H225" i="67"/>
  <c r="H158" i="67"/>
  <c r="B102" i="51"/>
  <c r="C102" i="51" s="1"/>
  <c r="D102" i="51" s="1"/>
  <c r="E102" i="51" s="1"/>
  <c r="F102" i="51" s="1"/>
  <c r="G102" i="51" s="1"/>
  <c r="H102" i="51" s="1"/>
  <c r="I102" i="51" s="1"/>
  <c r="K102" i="51" s="1"/>
  <c r="L102" i="51" s="1"/>
  <c r="M102" i="51" s="1"/>
  <c r="N102" i="51" s="1"/>
  <c r="O102" i="51" s="1"/>
  <c r="H9" i="51"/>
  <c r="H2" i="51" s="1"/>
  <c r="H37" i="28"/>
  <c r="H70" i="28"/>
  <c r="Q88" i="51"/>
  <c r="R88" i="51" s="1"/>
  <c r="S88" i="51" s="1"/>
  <c r="T88" i="51" s="1"/>
  <c r="U88" i="51" s="1"/>
  <c r="V88" i="51" s="1"/>
  <c r="W88" i="51" s="1"/>
  <c r="X88" i="51" s="1"/>
  <c r="P88" i="51"/>
  <c r="H83" i="45"/>
  <c r="H97" i="45"/>
  <c r="H63" i="45"/>
  <c r="H181" i="45"/>
  <c r="H76" i="45"/>
  <c r="H124" i="45"/>
  <c r="H140" i="45"/>
  <c r="H158" i="45"/>
  <c r="H3" i="68" s="1"/>
  <c r="H15" i="68" s="1"/>
  <c r="H189" i="45"/>
  <c r="H229" i="45"/>
  <c r="H199" i="45"/>
  <c r="H115" i="45"/>
  <c r="H173" i="45"/>
  <c r="H219" i="45"/>
  <c r="J199" i="62"/>
  <c r="J53" i="62"/>
  <c r="J66" i="62"/>
  <c r="L80" i="58" l="1"/>
  <c r="K61" i="67"/>
  <c r="K283" i="67" s="1"/>
  <c r="K437" i="67" s="1"/>
  <c r="J215" i="67"/>
  <c r="J189" i="67" s="1"/>
  <c r="J190" i="67" s="1"/>
  <c r="G12" i="68"/>
  <c r="H12" i="68"/>
  <c r="H222" i="45"/>
  <c r="H7" i="68"/>
  <c r="H426" i="67"/>
  <c r="H411" i="67"/>
  <c r="H412" i="67" s="1"/>
  <c r="H189" i="67"/>
  <c r="H190" i="67" s="1"/>
  <c r="H204" i="67"/>
  <c r="H253" i="67"/>
  <c r="H43" i="67"/>
  <c r="H265" i="67" s="1"/>
  <c r="H165" i="67"/>
  <c r="H125" i="67" s="1"/>
  <c r="H67" i="67"/>
  <c r="H289" i="67" s="1"/>
  <c r="H53" i="45"/>
  <c r="H8" i="68"/>
  <c r="H10" i="68" s="1"/>
  <c r="H165" i="45"/>
  <c r="H111" i="45" s="1"/>
  <c r="H322" i="67"/>
  <c r="H355" i="67" s="1"/>
  <c r="H404" i="67"/>
  <c r="G253" i="67"/>
  <c r="G43" i="67"/>
  <c r="G265" i="67" s="1"/>
  <c r="G426" i="67"/>
  <c r="G411" i="67"/>
  <c r="G412" i="67" s="1"/>
  <c r="G53" i="45"/>
  <c r="G8" i="68"/>
  <c r="G10" i="68" s="1"/>
  <c r="G165" i="45"/>
  <c r="G111" i="45" s="1"/>
  <c r="G189" i="67"/>
  <c r="G190" i="67" s="1"/>
  <c r="G204" i="67"/>
  <c r="G7" i="68"/>
  <c r="G9" i="68" s="1"/>
  <c r="G11" i="68" s="1"/>
  <c r="G165" i="67"/>
  <c r="G125" i="67" s="1"/>
  <c r="G67" i="67"/>
  <c r="G289" i="67" s="1"/>
  <c r="G322" i="67"/>
  <c r="G355" i="67" s="1"/>
  <c r="G404" i="67"/>
  <c r="L7" i="68"/>
  <c r="L12" i="68"/>
  <c r="L322" i="67"/>
  <c r="L355" i="67" s="1"/>
  <c r="L404" i="67"/>
  <c r="L8" i="68"/>
  <c r="L10" i="68" s="1"/>
  <c r="L53" i="45"/>
  <c r="L165" i="45"/>
  <c r="L111" i="45" s="1"/>
  <c r="L426" i="67"/>
  <c r="L411" i="67"/>
  <c r="L412" i="67" s="1"/>
  <c r="L67" i="67"/>
  <c r="L289" i="67" s="1"/>
  <c r="L165" i="67"/>
  <c r="L125" i="67" s="1"/>
  <c r="K167" i="67"/>
  <c r="K123" i="67" s="1"/>
  <c r="L9" i="68"/>
  <c r="L11" i="68" s="1"/>
  <c r="L189" i="67"/>
  <c r="L190" i="67" s="1"/>
  <c r="L204" i="67"/>
  <c r="K166" i="67"/>
  <c r="K119" i="67" s="1"/>
  <c r="K121" i="67"/>
  <c r="K162" i="67"/>
  <c r="K163" i="67" s="1"/>
  <c r="K184" i="67"/>
  <c r="K6" i="68"/>
  <c r="K167" i="45"/>
  <c r="K109" i="45" s="1"/>
  <c r="L92" i="67"/>
  <c r="L78" i="45"/>
  <c r="L45" i="47"/>
  <c r="K251" i="67"/>
  <c r="K100" i="67"/>
  <c r="K133" i="67" s="1"/>
  <c r="K215" i="67"/>
  <c r="K194" i="45"/>
  <c r="K166" i="45"/>
  <c r="K105" i="45" s="1"/>
  <c r="K162" i="45"/>
  <c r="K163" i="45" s="1"/>
  <c r="K107" i="45"/>
  <c r="K5" i="68"/>
  <c r="K201" i="45"/>
  <c r="K203" i="45" s="1"/>
  <c r="K222" i="45"/>
  <c r="K168" i="67"/>
  <c r="K168" i="45"/>
  <c r="J7" i="68"/>
  <c r="J322" i="67"/>
  <c r="J355" i="67" s="1"/>
  <c r="J404" i="67"/>
  <c r="I25" i="46"/>
  <c r="I21" i="46" s="1"/>
  <c r="I26" i="46" s="1"/>
  <c r="I34" i="46" s="1"/>
  <c r="I16" i="47"/>
  <c r="J45" i="58"/>
  <c r="J16" i="47"/>
  <c r="J204" i="67"/>
  <c r="I13" i="47"/>
  <c r="I156" i="45"/>
  <c r="J13" i="47"/>
  <c r="I49" i="46"/>
  <c r="I50" i="46" s="1"/>
  <c r="I60" i="46" s="1"/>
  <c r="I64" i="46" s="1"/>
  <c r="I155" i="67"/>
  <c r="J51" i="59"/>
  <c r="J39" i="67"/>
  <c r="J261" i="67" s="1"/>
  <c r="J411" i="67"/>
  <c r="J412" i="67" s="1"/>
  <c r="J426" i="67"/>
  <c r="J165" i="67"/>
  <c r="J125" i="67" s="1"/>
  <c r="J67" i="67"/>
  <c r="J289" i="67" s="1"/>
  <c r="J12" i="68"/>
  <c r="J165" i="45"/>
  <c r="J111" i="45" s="1"/>
  <c r="J53" i="45"/>
  <c r="J8" i="68"/>
  <c r="J10" i="68" s="1"/>
  <c r="J19" i="26"/>
  <c r="J137" i="45" s="1"/>
  <c r="J129" i="45"/>
  <c r="L129" i="45"/>
  <c r="L19" i="26"/>
  <c r="L137" i="45" s="1"/>
  <c r="H19" i="26"/>
  <c r="H137" i="45" s="1"/>
  <c r="H129" i="45"/>
  <c r="G129" i="45"/>
  <c r="G19" i="26"/>
  <c r="G137" i="45" s="1"/>
  <c r="I71" i="67"/>
  <c r="J98" i="60"/>
  <c r="I33" i="45"/>
  <c r="I35" i="67"/>
  <c r="I257" i="67" s="1"/>
  <c r="I33" i="67"/>
  <c r="I41" i="67"/>
  <c r="I57" i="45"/>
  <c r="I86" i="45"/>
  <c r="I119" i="45" s="1"/>
  <c r="I31" i="45"/>
  <c r="I37" i="45"/>
  <c r="C103" i="59"/>
  <c r="C105" i="58"/>
  <c r="AI17" i="31"/>
  <c r="AJ17" i="31"/>
  <c r="AA13" i="31"/>
  <c r="AB13" i="31"/>
  <c r="AC9" i="31"/>
  <c r="AD9" i="31" s="1"/>
  <c r="AC7" i="31"/>
  <c r="AD7" i="31"/>
  <c r="AI10" i="31"/>
  <c r="AJ10" i="31"/>
  <c r="V4" i="31"/>
  <c r="L35" i="51"/>
  <c r="X34" i="51"/>
  <c r="M92" i="67"/>
  <c r="M78" i="45"/>
  <c r="M45" i="47"/>
  <c r="V28" i="51"/>
  <c r="G29" i="51"/>
  <c r="D193" i="67"/>
  <c r="D194" i="67" s="1"/>
  <c r="D271" i="67"/>
  <c r="D415" i="67" s="1"/>
  <c r="D416" i="67" s="1"/>
  <c r="D195" i="67"/>
  <c r="D196" i="67" s="1"/>
  <c r="D205" i="67"/>
  <c r="D63" i="67"/>
  <c r="D285" i="67" s="1"/>
  <c r="Q27" i="51"/>
  <c r="O28" i="51"/>
  <c r="AG18" i="31"/>
  <c r="AH18" i="31" s="1"/>
  <c r="AF11" i="31"/>
  <c r="AE11" i="31"/>
  <c r="AE14" i="31"/>
  <c r="AF14" i="31"/>
  <c r="AB12" i="31"/>
  <c r="AA12" i="31"/>
  <c r="AE6" i="31"/>
  <c r="AF6" i="31"/>
  <c r="N26" i="51"/>
  <c r="M37" i="45"/>
  <c r="M31" i="45"/>
  <c r="M86" i="45"/>
  <c r="M119" i="45" s="1"/>
  <c r="B427" i="67"/>
  <c r="B417" i="67"/>
  <c r="B418" i="67" s="1"/>
  <c r="AO3" i="31"/>
  <c r="Q23" i="31"/>
  <c r="AN3" i="31"/>
  <c r="AD8" i="31"/>
  <c r="AC8" i="31"/>
  <c r="T27" i="51"/>
  <c r="C28" i="51"/>
  <c r="N98" i="60"/>
  <c r="M57" i="45"/>
  <c r="M71" i="67"/>
  <c r="M41" i="67"/>
  <c r="M35" i="67"/>
  <c r="M257" i="67" s="1"/>
  <c r="M33" i="45"/>
  <c r="M33" i="67"/>
  <c r="D297" i="67"/>
  <c r="D358" i="67"/>
  <c r="D440" i="67"/>
  <c r="D428" i="67" s="1"/>
  <c r="D438" i="67"/>
  <c r="AI5" i="31"/>
  <c r="AJ5" i="31"/>
  <c r="T271" i="67"/>
  <c r="T415" i="67" s="1"/>
  <c r="T416" i="67" s="1"/>
  <c r="T193" i="67"/>
  <c r="T194" i="67" s="1"/>
  <c r="T440" i="67"/>
  <c r="T428" i="67" s="1"/>
  <c r="T297" i="67"/>
  <c r="T358" i="67"/>
  <c r="T438" i="67"/>
  <c r="I29" i="51"/>
  <c r="W28" i="51"/>
  <c r="AJ16" i="31"/>
  <c r="AI16" i="31"/>
  <c r="B90" i="28"/>
  <c r="B85" i="28"/>
  <c r="AC15" i="31"/>
  <c r="AD15" i="31" s="1"/>
  <c r="B53" i="67"/>
  <c r="B43" i="45"/>
  <c r="U27" i="51"/>
  <c r="E28" i="51"/>
  <c r="C438" i="67"/>
  <c r="C440" i="67"/>
  <c r="C428" i="67" s="1"/>
  <c r="C297" i="67"/>
  <c r="C358" i="67"/>
  <c r="E49" i="67"/>
  <c r="E218" i="67"/>
  <c r="E206" i="67" s="1"/>
  <c r="E136" i="67"/>
  <c r="E216" i="67"/>
  <c r="E267" i="67"/>
  <c r="E47" i="67"/>
  <c r="E269" i="67" s="1"/>
  <c r="E75" i="67"/>
  <c r="L87" i="59"/>
  <c r="L93" i="59" s="1"/>
  <c r="K216" i="67" s="1"/>
  <c r="K61" i="46"/>
  <c r="K63" i="46" s="1"/>
  <c r="M85" i="59"/>
  <c r="K12" i="46"/>
  <c r="C195" i="67"/>
  <c r="C196" i="67" s="1"/>
  <c r="C63" i="67"/>
  <c r="C285" i="67" s="1"/>
  <c r="C205" i="67"/>
  <c r="E88" i="45"/>
  <c r="E121" i="45" s="1"/>
  <c r="E2" i="26"/>
  <c r="E65" i="45"/>
  <c r="E69" i="45" s="1"/>
  <c r="E74" i="45" s="1"/>
  <c r="E210" i="45"/>
  <c r="E212" i="45" s="1"/>
  <c r="E223" i="45"/>
  <c r="E301" i="67"/>
  <c r="E305" i="67" s="1"/>
  <c r="E310" i="67" s="1"/>
  <c r="E324" i="67"/>
  <c r="E357" i="67" s="1"/>
  <c r="J192" i="45"/>
  <c r="J234" i="45"/>
  <c r="J217" i="67"/>
  <c r="J191" i="45"/>
  <c r="J103" i="45" s="1"/>
  <c r="J181" i="67"/>
  <c r="J117" i="67" s="1"/>
  <c r="J27" i="67"/>
  <c r="J249" i="67" s="1"/>
  <c r="J182" i="67"/>
  <c r="J233" i="45"/>
  <c r="E4" i="46"/>
  <c r="E13" i="46" s="1"/>
  <c r="D15" i="46"/>
  <c r="E96" i="58"/>
  <c r="D101" i="58"/>
  <c r="D103" i="58" s="1"/>
  <c r="C36" i="46"/>
  <c r="C38" i="46" s="1"/>
  <c r="C39" i="46" s="1"/>
  <c r="C66" i="46" s="1"/>
  <c r="E47" i="47"/>
  <c r="E48" i="47" s="1"/>
  <c r="D50" i="47"/>
  <c r="E441" i="67"/>
  <c r="E429" i="67" s="1"/>
  <c r="E323" i="67"/>
  <c r="E356" i="67" s="1"/>
  <c r="C193" i="67"/>
  <c r="C194" i="67" s="1"/>
  <c r="C271" i="67"/>
  <c r="C415" i="67" s="1"/>
  <c r="C416" i="67" s="1"/>
  <c r="E37" i="67"/>
  <c r="E259" i="67" s="1"/>
  <c r="E39" i="67"/>
  <c r="E261" i="67" s="1"/>
  <c r="F103" i="60"/>
  <c r="F96" i="58"/>
  <c r="P37" i="67"/>
  <c r="P259" i="67" s="1"/>
  <c r="Q103" i="60"/>
  <c r="P218" i="67"/>
  <c r="P206" i="67" s="1"/>
  <c r="P136" i="67"/>
  <c r="P267" i="67"/>
  <c r="P75" i="67"/>
  <c r="P47" i="67"/>
  <c r="P269" i="67" s="1"/>
  <c r="P49" i="67"/>
  <c r="G440" i="67"/>
  <c r="G428" i="67" s="1"/>
  <c r="G297" i="67"/>
  <c r="G438" i="67"/>
  <c r="G358" i="67"/>
  <c r="J438" i="67"/>
  <c r="J358" i="67"/>
  <c r="J297" i="67"/>
  <c r="J440" i="67"/>
  <c r="J428" i="67" s="1"/>
  <c r="S49" i="67"/>
  <c r="S267" i="67"/>
  <c r="S218" i="67"/>
  <c r="S206" i="67" s="1"/>
  <c r="S136" i="67"/>
  <c r="S47" i="67"/>
  <c r="S269" i="67" s="1"/>
  <c r="S75" i="67"/>
  <c r="F271" i="67"/>
  <c r="F415" i="67" s="1"/>
  <c r="F416" i="67" s="1"/>
  <c r="F193" i="67"/>
  <c r="F194" i="67" s="1"/>
  <c r="O37" i="67"/>
  <c r="O259" i="67" s="1"/>
  <c r="P103" i="60"/>
  <c r="K2" i="26"/>
  <c r="K12" i="26" s="1"/>
  <c r="K65" i="45"/>
  <c r="K69" i="45" s="1"/>
  <c r="K74" i="45" s="1"/>
  <c r="K88" i="45"/>
  <c r="K121" i="45" s="1"/>
  <c r="H440" i="67"/>
  <c r="H428" i="67" s="1"/>
  <c r="H297" i="67"/>
  <c r="H438" i="67"/>
  <c r="H358" i="67"/>
  <c r="J36" i="26"/>
  <c r="J38" i="26" s="1"/>
  <c r="J40" i="26" s="1"/>
  <c r="J41" i="26" s="1"/>
  <c r="J42" i="26" s="1"/>
  <c r="J54" i="46"/>
  <c r="J60" i="46" s="1"/>
  <c r="J64" i="46" s="1"/>
  <c r="J28" i="26"/>
  <c r="J30" i="26" s="1"/>
  <c r="J31" i="26" s="1"/>
  <c r="K301" i="67"/>
  <c r="K305" i="67" s="1"/>
  <c r="K310" i="67" s="1"/>
  <c r="K324" i="67"/>
  <c r="K357" i="67" s="1"/>
  <c r="S2" i="26"/>
  <c r="S88" i="45"/>
  <c r="S121" i="45" s="1"/>
  <c r="S65" i="45"/>
  <c r="S69" i="45" s="1"/>
  <c r="S74" i="45" s="1"/>
  <c r="J271" i="67"/>
  <c r="J415" i="67" s="1"/>
  <c r="J416" i="67" s="1"/>
  <c r="J193" i="67"/>
  <c r="J194" i="67" s="1"/>
  <c r="O136" i="67"/>
  <c r="O218" i="67"/>
  <c r="O206" i="67" s="1"/>
  <c r="O75" i="67"/>
  <c r="O267" i="67"/>
  <c r="O49" i="67"/>
  <c r="O47" i="67"/>
  <c r="O269" i="67" s="1"/>
  <c r="P65" i="45"/>
  <c r="P69" i="45" s="1"/>
  <c r="P74" i="45" s="1"/>
  <c r="P2" i="26"/>
  <c r="P88" i="45"/>
  <c r="P121" i="45" s="1"/>
  <c r="P324" i="67"/>
  <c r="P357" i="67" s="1"/>
  <c r="P301" i="67"/>
  <c r="P305" i="67" s="1"/>
  <c r="P310" i="67" s="1"/>
  <c r="L297" i="67"/>
  <c r="L438" i="67"/>
  <c r="L440" i="67"/>
  <c r="L428" i="67" s="1"/>
  <c r="L358" i="67"/>
  <c r="Q440" i="67"/>
  <c r="Q428" i="67" s="1"/>
  <c r="Q297" i="67"/>
  <c r="Q438" i="67"/>
  <c r="Q358" i="67"/>
  <c r="J253" i="67"/>
  <c r="J43" i="67"/>
  <c r="J265" i="67" s="1"/>
  <c r="K441" i="67"/>
  <c r="K429" i="67" s="1"/>
  <c r="K323" i="67"/>
  <c r="K356" i="67" s="1"/>
  <c r="P323" i="67"/>
  <c r="P356" i="67" s="1"/>
  <c r="P441" i="67"/>
  <c r="P429" i="67" s="1"/>
  <c r="H205" i="67"/>
  <c r="H195" i="67"/>
  <c r="H196" i="67" s="1"/>
  <c r="H63" i="67"/>
  <c r="H285" i="67" s="1"/>
  <c r="L64" i="59"/>
  <c r="M62" i="59"/>
  <c r="K53" i="46"/>
  <c r="O323" i="67"/>
  <c r="O356" i="67" s="1"/>
  <c r="O441" i="67"/>
  <c r="O429" i="67" s="1"/>
  <c r="G271" i="67"/>
  <c r="G415" i="67" s="1"/>
  <c r="G416" i="67" s="1"/>
  <c r="G193" i="67"/>
  <c r="G194" i="67" s="1"/>
  <c r="J195" i="67"/>
  <c r="J196" i="67" s="1"/>
  <c r="J63" i="67"/>
  <c r="J285" i="67" s="1"/>
  <c r="J205" i="67"/>
  <c r="M78" i="58"/>
  <c r="M80" i="58" s="1"/>
  <c r="L32" i="46"/>
  <c r="L33" i="46" s="1"/>
  <c r="L34" i="46" s="1"/>
  <c r="N77" i="58"/>
  <c r="S37" i="67"/>
  <c r="S259" i="67" s="1"/>
  <c r="T103" i="60"/>
  <c r="F440" i="67"/>
  <c r="F428" i="67" s="1"/>
  <c r="F358" i="67"/>
  <c r="F438" i="67"/>
  <c r="F297" i="67"/>
  <c r="Q9" i="62"/>
  <c r="P10" i="60"/>
  <c r="L193" i="67"/>
  <c r="L194" i="67" s="1"/>
  <c r="L271" i="67"/>
  <c r="L415" i="67" s="1"/>
  <c r="L416" i="67" s="1"/>
  <c r="O301" i="67"/>
  <c r="O305" i="67" s="1"/>
  <c r="O310" i="67" s="1"/>
  <c r="O324" i="67"/>
  <c r="O357" i="67" s="1"/>
  <c r="U417" i="67"/>
  <c r="U418" i="67" s="1"/>
  <c r="U427" i="67"/>
  <c r="K37" i="67"/>
  <c r="K259" i="67" s="1"/>
  <c r="L103" i="60"/>
  <c r="N193" i="67"/>
  <c r="N194" i="67" s="1"/>
  <c r="N271" i="67"/>
  <c r="N415" i="67" s="1"/>
  <c r="N416" i="67" s="1"/>
  <c r="N358" i="67"/>
  <c r="N297" i="67"/>
  <c r="N438" i="67"/>
  <c r="N440" i="67"/>
  <c r="N428" i="67" s="1"/>
  <c r="Q193" i="67"/>
  <c r="Q194" i="67" s="1"/>
  <c r="Q271" i="67"/>
  <c r="Q415" i="67" s="1"/>
  <c r="Q416" i="67" s="1"/>
  <c r="I94" i="45"/>
  <c r="I108" i="67"/>
  <c r="I32" i="26"/>
  <c r="R271" i="67"/>
  <c r="R415" i="67" s="1"/>
  <c r="R416" i="67" s="1"/>
  <c r="R193" i="67"/>
  <c r="R194" i="67" s="1"/>
  <c r="S323" i="67"/>
  <c r="S356" i="67" s="1"/>
  <c r="S441" i="67"/>
  <c r="S429" i="67" s="1"/>
  <c r="O88" i="45"/>
  <c r="O121" i="45" s="1"/>
  <c r="O65" i="45"/>
  <c r="O69" i="45" s="1"/>
  <c r="O74" i="45" s="1"/>
  <c r="O2" i="26"/>
  <c r="G195" i="67"/>
  <c r="G196" i="67" s="1"/>
  <c r="G205" i="67"/>
  <c r="G63" i="67"/>
  <c r="G285" i="67" s="1"/>
  <c r="K31" i="67"/>
  <c r="K220" i="67"/>
  <c r="K237" i="45"/>
  <c r="F63" i="67"/>
  <c r="F285" i="67" s="1"/>
  <c r="F205" i="67"/>
  <c r="F195" i="67"/>
  <c r="F196" i="67" s="1"/>
  <c r="O9" i="59"/>
  <c r="O9" i="58"/>
  <c r="O58" i="58" s="1"/>
  <c r="S301" i="67"/>
  <c r="S305" i="67" s="1"/>
  <c r="S310" i="67" s="1"/>
  <c r="S324" i="67"/>
  <c r="S357" i="67" s="1"/>
  <c r="K267" i="67"/>
  <c r="K75" i="67"/>
  <c r="K47" i="67"/>
  <c r="K269" i="67" s="1"/>
  <c r="K136" i="67"/>
  <c r="K49" i="67"/>
  <c r="K218" i="67"/>
  <c r="K206" i="67" s="1"/>
  <c r="H271" i="67"/>
  <c r="H415" i="67" s="1"/>
  <c r="H416" i="67" s="1"/>
  <c r="H193" i="67"/>
  <c r="H194" i="67" s="1"/>
  <c r="R358" i="67"/>
  <c r="R440" i="67"/>
  <c r="R428" i="67" s="1"/>
  <c r="R438" i="67"/>
  <c r="R297" i="67"/>
  <c r="I37" i="28"/>
  <c r="I70" i="28"/>
  <c r="I129" i="67"/>
  <c r="I77" i="67"/>
  <c r="I90" i="67"/>
  <c r="I225" i="67"/>
  <c r="I158" i="67"/>
  <c r="I179" i="67"/>
  <c r="I97" i="67"/>
  <c r="I139" i="67"/>
  <c r="I212" i="67"/>
  <c r="I111" i="67"/>
  <c r="I201" i="67"/>
  <c r="Q102" i="51"/>
  <c r="R102" i="51" s="1"/>
  <c r="S102" i="51" s="1"/>
  <c r="T102" i="51" s="1"/>
  <c r="U102" i="51" s="1"/>
  <c r="V102" i="51" s="1"/>
  <c r="W102" i="51" s="1"/>
  <c r="X102" i="51" s="1"/>
  <c r="P102" i="51"/>
  <c r="J3" i="45"/>
  <c r="J2" i="47"/>
  <c r="J23" i="47" s="1"/>
  <c r="J34" i="47" s="1"/>
  <c r="J2" i="28"/>
  <c r="K10" i="59"/>
  <c r="K58" i="59" s="1"/>
  <c r="A130" i="51"/>
  <c r="K10" i="58"/>
  <c r="K59" i="58" s="1"/>
  <c r="J3" i="67"/>
  <c r="J2" i="46"/>
  <c r="J17" i="46" s="1"/>
  <c r="J41" i="46" s="1"/>
  <c r="J8" i="26"/>
  <c r="K56" i="60"/>
  <c r="H299" i="67"/>
  <c r="H434" i="67"/>
  <c r="H319" i="67"/>
  <c r="H361" i="67"/>
  <c r="H423" i="67"/>
  <c r="H401" i="67"/>
  <c r="H333" i="67"/>
  <c r="H312" i="67"/>
  <c r="H380" i="67"/>
  <c r="H351" i="67"/>
  <c r="I79" i="28"/>
  <c r="I26" i="26"/>
  <c r="I34" i="26"/>
  <c r="I1" i="26"/>
  <c r="I229" i="45"/>
  <c r="I76" i="45"/>
  <c r="I83" i="45"/>
  <c r="I97" i="45"/>
  <c r="I181" i="45"/>
  <c r="I63" i="45"/>
  <c r="I140" i="45"/>
  <c r="I189" i="45"/>
  <c r="I115" i="45"/>
  <c r="I173" i="45"/>
  <c r="I158" i="45"/>
  <c r="I3" i="68" s="1"/>
  <c r="I15" i="68" s="1"/>
  <c r="I219" i="45"/>
  <c r="I199" i="45"/>
  <c r="I124" i="45"/>
  <c r="K66" i="62"/>
  <c r="K53" i="62"/>
  <c r="K199" i="62"/>
  <c r="I9" i="51"/>
  <c r="I2" i="51" s="1"/>
  <c r="B116" i="51"/>
  <c r="C116" i="51" s="1"/>
  <c r="D116" i="51" s="1"/>
  <c r="E116" i="51" s="1"/>
  <c r="F116" i="51" s="1"/>
  <c r="G116" i="51" s="1"/>
  <c r="H116" i="51" s="1"/>
  <c r="I116" i="51" s="1"/>
  <c r="K116" i="51" s="1"/>
  <c r="L116" i="51" s="1"/>
  <c r="M116" i="51" s="1"/>
  <c r="N116" i="51" s="1"/>
  <c r="O116" i="51" s="1"/>
  <c r="L15" i="62"/>
  <c r="L24" i="62"/>
  <c r="L11" i="60"/>
  <c r="K39" i="67" l="1"/>
  <c r="K261" i="67" s="1"/>
  <c r="I21" i="47"/>
  <c r="I45" i="47" s="1"/>
  <c r="H9" i="68"/>
  <c r="H11" i="68" s="1"/>
  <c r="K7" i="68"/>
  <c r="K53" i="45"/>
  <c r="K165" i="45"/>
  <c r="K111" i="45" s="1"/>
  <c r="K8" i="68"/>
  <c r="K10" i="68" s="1"/>
  <c r="K411" i="67"/>
  <c r="K412" i="67" s="1"/>
  <c r="K426" i="67"/>
  <c r="K165" i="67"/>
  <c r="K125" i="67" s="1"/>
  <c r="K67" i="67"/>
  <c r="K289" i="67" s="1"/>
  <c r="K322" i="67"/>
  <c r="K355" i="67" s="1"/>
  <c r="K404" i="67"/>
  <c r="K189" i="67"/>
  <c r="K190" i="67" s="1"/>
  <c r="K204" i="67"/>
  <c r="L81" i="45"/>
  <c r="L95" i="67"/>
  <c r="K12" i="68"/>
  <c r="J21" i="47"/>
  <c r="J92" i="67" s="1"/>
  <c r="I160" i="45"/>
  <c r="I168" i="45" s="1"/>
  <c r="I160" i="67"/>
  <c r="I168" i="67" s="1"/>
  <c r="I29" i="67"/>
  <c r="J93" i="59"/>
  <c r="I233" i="45" s="1"/>
  <c r="I161" i="45"/>
  <c r="I161" i="67"/>
  <c r="J47" i="58"/>
  <c r="J80" i="58" s="1"/>
  <c r="J9" i="68"/>
  <c r="J11" i="68" s="1"/>
  <c r="K19" i="26"/>
  <c r="K137" i="45" s="1"/>
  <c r="K129" i="45"/>
  <c r="I39" i="45"/>
  <c r="I207" i="45" s="1"/>
  <c r="I209" i="45" s="1"/>
  <c r="I235" i="45"/>
  <c r="I224" i="45" s="1"/>
  <c r="I61" i="45"/>
  <c r="I45" i="67"/>
  <c r="I122" i="45"/>
  <c r="I236" i="45"/>
  <c r="I225" i="45" s="1"/>
  <c r="I11" i="26"/>
  <c r="I128" i="45" s="1"/>
  <c r="I35" i="45"/>
  <c r="I87" i="45"/>
  <c r="I120" i="45" s="1"/>
  <c r="I263" i="67"/>
  <c r="I102" i="67"/>
  <c r="I135" i="67" s="1"/>
  <c r="I79" i="67"/>
  <c r="I83" i="67" s="1"/>
  <c r="I88" i="67" s="1"/>
  <c r="I6" i="46"/>
  <c r="J102" i="60"/>
  <c r="J104" i="60" s="1"/>
  <c r="I101" i="67"/>
  <c r="I134" i="67" s="1"/>
  <c r="I255" i="67"/>
  <c r="I219" i="67"/>
  <c r="I207" i="67" s="1"/>
  <c r="D103" i="59"/>
  <c r="D105" i="58"/>
  <c r="AE15" i="31"/>
  <c r="AF15" i="31" s="1"/>
  <c r="AI18" i="31"/>
  <c r="AJ18" i="31" s="1"/>
  <c r="AE9" i="31"/>
  <c r="AF9" i="31"/>
  <c r="B90" i="45"/>
  <c r="B47" i="45"/>
  <c r="B45" i="45"/>
  <c r="B49" i="45" s="1"/>
  <c r="B92" i="45" s="1"/>
  <c r="B239" i="45"/>
  <c r="B227" i="45" s="1"/>
  <c r="AK16" i="31"/>
  <c r="AL16" i="31"/>
  <c r="M35" i="45"/>
  <c r="M236" i="45"/>
  <c r="M225" i="45" s="1"/>
  <c r="M87" i="45"/>
  <c r="M120" i="45" s="1"/>
  <c r="M11" i="26"/>
  <c r="M128" i="45" s="1"/>
  <c r="AQ3" i="31"/>
  <c r="R23" i="31"/>
  <c r="AP3" i="31"/>
  <c r="AD12" i="31"/>
  <c r="AC12" i="31"/>
  <c r="AH11" i="31"/>
  <c r="AG11" i="31"/>
  <c r="M81" i="45"/>
  <c r="M95" i="67"/>
  <c r="L36" i="51"/>
  <c r="X35" i="51"/>
  <c r="AE7" i="31"/>
  <c r="AF7" i="31" s="1"/>
  <c r="AC13" i="31"/>
  <c r="AD13" i="31" s="1"/>
  <c r="B55" i="67"/>
  <c r="B275" i="67"/>
  <c r="B222" i="67"/>
  <c r="B209" i="67" s="1"/>
  <c r="B104" i="67"/>
  <c r="B57" i="67"/>
  <c r="B88" i="28"/>
  <c r="B75" i="28" s="1"/>
  <c r="AK5" i="31"/>
  <c r="AL5" i="31" s="1"/>
  <c r="M6" i="46"/>
  <c r="N102" i="60"/>
  <c r="AE8" i="31"/>
  <c r="AF8" i="31"/>
  <c r="M45" i="67"/>
  <c r="M39" i="45"/>
  <c r="M207" i="45" s="1"/>
  <c r="M209" i="45" s="1"/>
  <c r="M61" i="45"/>
  <c r="M235" i="45"/>
  <c r="M224" i="45" s="1"/>
  <c r="M122" i="45"/>
  <c r="AG6" i="31"/>
  <c r="AH6" i="31" s="1"/>
  <c r="AG14" i="31"/>
  <c r="AH14" i="31" s="1"/>
  <c r="X4" i="31"/>
  <c r="V19" i="31"/>
  <c r="W4" i="31"/>
  <c r="W19" i="31" s="1"/>
  <c r="I24" i="31" s="1"/>
  <c r="U28" i="51"/>
  <c r="E29" i="51"/>
  <c r="W29" i="51"/>
  <c r="I30" i="51"/>
  <c r="M263" i="67"/>
  <c r="M102" i="67"/>
  <c r="M135" i="67" s="1"/>
  <c r="M79" i="67"/>
  <c r="M83" i="67" s="1"/>
  <c r="M88" i="67" s="1"/>
  <c r="T28" i="51"/>
  <c r="N28" i="51" s="1"/>
  <c r="C29" i="51"/>
  <c r="G30" i="51"/>
  <c r="V29" i="51"/>
  <c r="AL10" i="31"/>
  <c r="AK10" i="31"/>
  <c r="AK17" i="31"/>
  <c r="AL17" i="31" s="1"/>
  <c r="T427" i="67"/>
  <c r="T417" i="67"/>
  <c r="T418" i="67" s="1"/>
  <c r="D427" i="67"/>
  <c r="D417" i="67"/>
  <c r="D418" i="67" s="1"/>
  <c r="M219" i="67"/>
  <c r="M207" i="67" s="1"/>
  <c r="M255" i="67"/>
  <c r="M101" i="67"/>
  <c r="M134" i="67" s="1"/>
  <c r="N27" i="51"/>
  <c r="Q28" i="51"/>
  <c r="O29" i="51"/>
  <c r="E36" i="46"/>
  <c r="E38" i="46" s="1"/>
  <c r="E39" i="46" s="1"/>
  <c r="E66" i="46" s="1"/>
  <c r="F101" i="58"/>
  <c r="F103" i="58" s="1"/>
  <c r="G96" i="58"/>
  <c r="E101" i="58"/>
  <c r="E103" i="58" s="1"/>
  <c r="D36" i="46"/>
  <c r="D38" i="46" s="1"/>
  <c r="D39" i="46" s="1"/>
  <c r="D66" i="46" s="1"/>
  <c r="K234" i="45"/>
  <c r="K192" i="45"/>
  <c r="K181" i="67"/>
  <c r="K117" i="67" s="1"/>
  <c r="K217" i="67"/>
  <c r="K182" i="67"/>
  <c r="K233" i="45"/>
  <c r="K191" i="45"/>
  <c r="K103" i="45" s="1"/>
  <c r="K27" i="67"/>
  <c r="K249" i="67" s="1"/>
  <c r="E195" i="67"/>
  <c r="E196" i="67" s="1"/>
  <c r="E205" i="67"/>
  <c r="E63" i="67"/>
  <c r="E285" i="67" s="1"/>
  <c r="E50" i="47"/>
  <c r="F47" i="47"/>
  <c r="F48" i="47" s="1"/>
  <c r="E15" i="46"/>
  <c r="F4" i="46"/>
  <c r="F13" i="46" s="1"/>
  <c r="L12" i="46"/>
  <c r="N85" i="59"/>
  <c r="M87" i="59"/>
  <c r="M93" i="59" s="1"/>
  <c r="L61" i="46"/>
  <c r="L63" i="46" s="1"/>
  <c r="C43" i="45"/>
  <c r="C53" i="67"/>
  <c r="J210" i="45"/>
  <c r="J212" i="45" s="1"/>
  <c r="J223" i="45"/>
  <c r="E358" i="67"/>
  <c r="E438" i="67"/>
  <c r="E297" i="67"/>
  <c r="E440" i="67"/>
  <c r="E428" i="67" s="1"/>
  <c r="E193" i="67"/>
  <c r="E194" i="67" s="1"/>
  <c r="E271" i="67"/>
  <c r="E415" i="67" s="1"/>
  <c r="E416" i="67" s="1"/>
  <c r="C417" i="67"/>
  <c r="C418" i="67" s="1"/>
  <c r="C427" i="67"/>
  <c r="Q10" i="60"/>
  <c r="R9" i="62"/>
  <c r="H427" i="67"/>
  <c r="H417" i="67"/>
  <c r="H418" i="67" s="1"/>
  <c r="S271" i="67"/>
  <c r="S415" i="67" s="1"/>
  <c r="S416" i="67" s="1"/>
  <c r="S193" i="67"/>
  <c r="S194" i="67" s="1"/>
  <c r="N78" i="58"/>
  <c r="N80" i="58" s="1"/>
  <c r="M32" i="46"/>
  <c r="M33" i="46" s="1"/>
  <c r="M34" i="46" s="1"/>
  <c r="O77" i="58"/>
  <c r="K54" i="46"/>
  <c r="K60" i="46" s="1"/>
  <c r="K64" i="46" s="1"/>
  <c r="K28" i="26"/>
  <c r="K30" i="26" s="1"/>
  <c r="K31" i="26" s="1"/>
  <c r="K36" i="26"/>
  <c r="K38" i="26" s="1"/>
  <c r="K40" i="26" s="1"/>
  <c r="K41" i="26" s="1"/>
  <c r="K42" i="26" s="1"/>
  <c r="O440" i="67"/>
  <c r="O428" i="67" s="1"/>
  <c r="O358" i="67"/>
  <c r="O297" i="67"/>
  <c r="O438" i="67"/>
  <c r="J417" i="67"/>
  <c r="J418" i="67" s="1"/>
  <c r="J427" i="67"/>
  <c r="K271" i="67"/>
  <c r="K415" i="67" s="1"/>
  <c r="K416" i="67" s="1"/>
  <c r="K193" i="67"/>
  <c r="K194" i="67" s="1"/>
  <c r="N417" i="67"/>
  <c r="N418" i="67" s="1"/>
  <c r="N427" i="67"/>
  <c r="F417" i="67"/>
  <c r="F418" i="67" s="1"/>
  <c r="F427" i="67"/>
  <c r="P193" i="67"/>
  <c r="P194" i="67" s="1"/>
  <c r="P271" i="67"/>
  <c r="P415" i="67" s="1"/>
  <c r="P416" i="67" s="1"/>
  <c r="P438" i="67"/>
  <c r="P297" i="67"/>
  <c r="P440" i="67"/>
  <c r="P428" i="67" s="1"/>
  <c r="P358" i="67"/>
  <c r="R417" i="67"/>
  <c r="R418" i="67" s="1"/>
  <c r="R427" i="67"/>
  <c r="N62" i="59"/>
  <c r="M64" i="59"/>
  <c r="L53" i="46"/>
  <c r="L427" i="67"/>
  <c r="L417" i="67"/>
  <c r="L418" i="67" s="1"/>
  <c r="O193" i="67"/>
  <c r="O194" i="67" s="1"/>
  <c r="O271" i="67"/>
  <c r="O415" i="67" s="1"/>
  <c r="O416" i="67" s="1"/>
  <c r="K195" i="67"/>
  <c r="K196" i="67" s="1"/>
  <c r="K63" i="67"/>
  <c r="K285" i="67" s="1"/>
  <c r="K205" i="67"/>
  <c r="K440" i="67"/>
  <c r="K428" i="67" s="1"/>
  <c r="K438" i="67"/>
  <c r="K297" i="67"/>
  <c r="K358" i="67"/>
  <c r="K253" i="67"/>
  <c r="K43" i="67"/>
  <c r="K265" i="67" s="1"/>
  <c r="P9" i="59"/>
  <c r="P9" i="58"/>
  <c r="P58" i="58" s="1"/>
  <c r="L31" i="67"/>
  <c r="L237" i="45"/>
  <c r="L220" i="67"/>
  <c r="Q427" i="67"/>
  <c r="Q417" i="67"/>
  <c r="Q418" i="67" s="1"/>
  <c r="J108" i="67"/>
  <c r="J32" i="26"/>
  <c r="J94" i="45"/>
  <c r="S440" i="67"/>
  <c r="S428" i="67" s="1"/>
  <c r="S358" i="67"/>
  <c r="S297" i="67"/>
  <c r="S438" i="67"/>
  <c r="G427" i="67"/>
  <c r="G417" i="67"/>
  <c r="G418" i="67" s="1"/>
  <c r="M24" i="62"/>
  <c r="M11" i="60"/>
  <c r="M15" i="62"/>
  <c r="J1" i="26"/>
  <c r="J26" i="26"/>
  <c r="J79" i="28"/>
  <c r="J34" i="26"/>
  <c r="J9" i="51"/>
  <c r="J2" i="51" s="1"/>
  <c r="B130" i="51"/>
  <c r="C130" i="51" s="1"/>
  <c r="D130" i="51" s="1"/>
  <c r="E130" i="51" s="1"/>
  <c r="F130" i="51" s="1"/>
  <c r="G130" i="51" s="1"/>
  <c r="H130" i="51" s="1"/>
  <c r="I130" i="51" s="1"/>
  <c r="K130" i="51" s="1"/>
  <c r="L130" i="51" s="1"/>
  <c r="M130" i="51" s="1"/>
  <c r="N130" i="51" s="1"/>
  <c r="O130" i="51" s="1"/>
  <c r="K2" i="46"/>
  <c r="K17" i="46" s="1"/>
  <c r="K41" i="46" s="1"/>
  <c r="L56" i="60"/>
  <c r="K3" i="45"/>
  <c r="K8" i="26"/>
  <c r="A144" i="51"/>
  <c r="L10" i="59"/>
  <c r="L58" i="59" s="1"/>
  <c r="K3" i="67"/>
  <c r="K2" i="28"/>
  <c r="L10" i="58"/>
  <c r="L59" i="58" s="1"/>
  <c r="K2" i="47"/>
  <c r="K23" i="47" s="1"/>
  <c r="K34" i="47" s="1"/>
  <c r="J158" i="67"/>
  <c r="J90" i="67"/>
  <c r="J97" i="67"/>
  <c r="J201" i="67"/>
  <c r="J212" i="67"/>
  <c r="J225" i="67"/>
  <c r="J111" i="67"/>
  <c r="J77" i="67"/>
  <c r="J139" i="67"/>
  <c r="J129" i="67"/>
  <c r="J179" i="67"/>
  <c r="J37" i="28"/>
  <c r="J70" i="28"/>
  <c r="I380" i="67"/>
  <c r="I423" i="67"/>
  <c r="I434" i="67"/>
  <c r="I401" i="67"/>
  <c r="I299" i="67"/>
  <c r="I361" i="67"/>
  <c r="I319" i="67"/>
  <c r="I312" i="67"/>
  <c r="I351" i="67"/>
  <c r="I333" i="67"/>
  <c r="J158" i="45"/>
  <c r="J3" i="68" s="1"/>
  <c r="J15" i="68" s="1"/>
  <c r="J124" i="45"/>
  <c r="J229" i="45"/>
  <c r="J173" i="45"/>
  <c r="J63" i="45"/>
  <c r="J189" i="45"/>
  <c r="J83" i="45"/>
  <c r="J115" i="45"/>
  <c r="J140" i="45"/>
  <c r="J199" i="45"/>
  <c r="J97" i="45"/>
  <c r="J181" i="45"/>
  <c r="J219" i="45"/>
  <c r="J76" i="45"/>
  <c r="P116" i="51"/>
  <c r="Q116" i="51"/>
  <c r="R116" i="51" s="1"/>
  <c r="S116" i="51" s="1"/>
  <c r="T116" i="51" s="1"/>
  <c r="U116" i="51" s="1"/>
  <c r="V116" i="51" s="1"/>
  <c r="W116" i="51" s="1"/>
  <c r="X116" i="51" s="1"/>
  <c r="L66" i="62"/>
  <c r="L199" i="62"/>
  <c r="L53" i="62"/>
  <c r="I78" i="45" l="1"/>
  <c r="I95" i="67"/>
  <c r="I81" i="45"/>
  <c r="I92" i="67"/>
  <c r="J45" i="47"/>
  <c r="J81" i="45" s="1"/>
  <c r="J78" i="45"/>
  <c r="K9" i="68"/>
  <c r="K11" i="68" s="1"/>
  <c r="I167" i="67"/>
  <c r="I123" i="67" s="1"/>
  <c r="I51" i="45"/>
  <c r="I232" i="45" s="1"/>
  <c r="I201" i="45" s="1"/>
  <c r="I203" i="45" s="1"/>
  <c r="I162" i="67"/>
  <c r="I163" i="67" s="1"/>
  <c r="I121" i="67"/>
  <c r="I166" i="67"/>
  <c r="I119" i="67" s="1"/>
  <c r="I184" i="67"/>
  <c r="I31" i="67"/>
  <c r="I237" i="45"/>
  <c r="I220" i="67"/>
  <c r="I191" i="45"/>
  <c r="I103" i="45" s="1"/>
  <c r="I181" i="67"/>
  <c r="I117" i="67" s="1"/>
  <c r="I234" i="45"/>
  <c r="I27" i="67"/>
  <c r="I249" i="67" s="1"/>
  <c r="I217" i="67"/>
  <c r="I192" i="45"/>
  <c r="I107" i="45"/>
  <c r="I194" i="45"/>
  <c r="I5" i="68"/>
  <c r="I166" i="45"/>
  <c r="I105" i="45" s="1"/>
  <c r="I162" i="45"/>
  <c r="I163" i="45" s="1"/>
  <c r="I6" i="68"/>
  <c r="I167" i="45"/>
  <c r="I109" i="45" s="1"/>
  <c r="I251" i="67"/>
  <c r="I100" i="67"/>
  <c r="I133" i="67" s="1"/>
  <c r="I182" i="67"/>
  <c r="I61" i="67"/>
  <c r="F103" i="59"/>
  <c r="F105" i="58"/>
  <c r="I323" i="67"/>
  <c r="I356" i="67" s="1"/>
  <c r="I441" i="67"/>
  <c r="I429" i="67" s="1"/>
  <c r="J103" i="60"/>
  <c r="I39" i="67"/>
  <c r="I261" i="67" s="1"/>
  <c r="I37" i="67"/>
  <c r="I259" i="67" s="1"/>
  <c r="I324" i="67"/>
  <c r="I357" i="67" s="1"/>
  <c r="I301" i="67"/>
  <c r="I305" i="67" s="1"/>
  <c r="I310" i="67" s="1"/>
  <c r="I65" i="45"/>
  <c r="I69" i="45" s="1"/>
  <c r="I74" i="45" s="1"/>
  <c r="I2" i="26"/>
  <c r="I12" i="26" s="1"/>
  <c r="I88" i="45"/>
  <c r="I121" i="45" s="1"/>
  <c r="I49" i="67"/>
  <c r="I216" i="67"/>
  <c r="I136" i="67"/>
  <c r="I218" i="67"/>
  <c r="I206" i="67" s="1"/>
  <c r="I47" i="67"/>
  <c r="I269" i="67" s="1"/>
  <c r="I75" i="67"/>
  <c r="I267" i="67"/>
  <c r="I223" i="45"/>
  <c r="I210" i="45"/>
  <c r="I212" i="45" s="1"/>
  <c r="E105" i="58"/>
  <c r="E103" i="59"/>
  <c r="AM17" i="31"/>
  <c r="AN17" i="31"/>
  <c r="AM5" i="31"/>
  <c r="AN5" i="31" s="1"/>
  <c r="AE13" i="31"/>
  <c r="AF13" i="31"/>
  <c r="AI14" i="31"/>
  <c r="AJ14" i="31"/>
  <c r="AG7" i="31"/>
  <c r="AH7" i="31" s="1"/>
  <c r="AK18" i="31"/>
  <c r="AL18" i="31"/>
  <c r="AI6" i="31"/>
  <c r="AJ6" i="31" s="1"/>
  <c r="AG15" i="31"/>
  <c r="AH15" i="31" s="1"/>
  <c r="AM10" i="31"/>
  <c r="AN10" i="31" s="1"/>
  <c r="W30" i="51"/>
  <c r="W31" i="51" s="1"/>
  <c r="I33" i="51"/>
  <c r="AG8" i="31"/>
  <c r="AH8" i="31" s="1"/>
  <c r="B105" i="67"/>
  <c r="B279" i="67"/>
  <c r="B214" i="67"/>
  <c r="B277" i="67"/>
  <c r="B59" i="67"/>
  <c r="AE12" i="31"/>
  <c r="AF12" i="31" s="1"/>
  <c r="AM16" i="31"/>
  <c r="AN16" i="31" s="1"/>
  <c r="B91" i="45"/>
  <c r="B231" i="45"/>
  <c r="G33" i="51"/>
  <c r="V30" i="51"/>
  <c r="V31" i="51" s="1"/>
  <c r="E30" i="51"/>
  <c r="U29" i="51"/>
  <c r="Y4" i="31"/>
  <c r="Y19" i="31" s="1"/>
  <c r="J24" i="31" s="1"/>
  <c r="X19" i="31"/>
  <c r="N103" i="60"/>
  <c r="M37" i="67"/>
  <c r="M259" i="67" s="1"/>
  <c r="X36" i="51"/>
  <c r="L37" i="51"/>
  <c r="AI11" i="31"/>
  <c r="AJ11" i="31"/>
  <c r="AG9" i="31"/>
  <c r="AH9" i="31" s="1"/>
  <c r="O30" i="51"/>
  <c r="Q29" i="51"/>
  <c r="M323" i="67"/>
  <c r="M356" i="67" s="1"/>
  <c r="M441" i="67"/>
  <c r="M429" i="67" s="1"/>
  <c r="T29" i="51"/>
  <c r="N29" i="51" s="1"/>
  <c r="C30" i="51"/>
  <c r="M324" i="67"/>
  <c r="M357" i="67" s="1"/>
  <c r="M301" i="67"/>
  <c r="M305" i="67" s="1"/>
  <c r="M310" i="67" s="1"/>
  <c r="M49" i="67"/>
  <c r="M75" i="67"/>
  <c r="M267" i="67"/>
  <c r="M136" i="67"/>
  <c r="M47" i="67"/>
  <c r="M269" i="67" s="1"/>
  <c r="M218" i="67"/>
  <c r="M206" i="67" s="1"/>
  <c r="B444" i="67"/>
  <c r="B431" i="67" s="1"/>
  <c r="B326" i="67"/>
  <c r="AS3" i="31"/>
  <c r="AR3" i="31"/>
  <c r="S23" i="31"/>
  <c r="M65" i="45"/>
  <c r="M69" i="45" s="1"/>
  <c r="M74" i="45" s="1"/>
  <c r="M88" i="45"/>
  <c r="M121" i="45" s="1"/>
  <c r="M2" i="26"/>
  <c r="F15" i="46"/>
  <c r="G4" i="46"/>
  <c r="G13" i="46" s="1"/>
  <c r="D53" i="67"/>
  <c r="D43" i="45"/>
  <c r="E427" i="67"/>
  <c r="E417" i="67"/>
  <c r="E418" i="67" s="1"/>
  <c r="C104" i="67"/>
  <c r="C222" i="67"/>
  <c r="C209" i="67" s="1"/>
  <c r="C275" i="67"/>
  <c r="C57" i="67"/>
  <c r="C55" i="67"/>
  <c r="L216" i="67"/>
  <c r="L39" i="67"/>
  <c r="L261" i="67" s="1"/>
  <c r="L182" i="67"/>
  <c r="L233" i="45"/>
  <c r="L27" i="67"/>
  <c r="L249" i="67" s="1"/>
  <c r="L217" i="67"/>
  <c r="L181" i="67"/>
  <c r="L117" i="67" s="1"/>
  <c r="L192" i="45"/>
  <c r="L191" i="45"/>
  <c r="L103" i="45" s="1"/>
  <c r="L234" i="45"/>
  <c r="K223" i="45"/>
  <c r="K210" i="45"/>
  <c r="K212" i="45" s="1"/>
  <c r="H96" i="58"/>
  <c r="F36" i="46"/>
  <c r="F38" i="46" s="1"/>
  <c r="F39" i="46" s="1"/>
  <c r="F66" i="46" s="1"/>
  <c r="G101" i="58"/>
  <c r="G103" i="58" s="1"/>
  <c r="C239" i="45"/>
  <c r="C227" i="45" s="1"/>
  <c r="C90" i="45"/>
  <c r="C47" i="45"/>
  <c r="C45" i="45"/>
  <c r="C49" i="45" s="1"/>
  <c r="C92" i="45" s="1"/>
  <c r="M12" i="46"/>
  <c r="N87" i="59"/>
  <c r="N93" i="59" s="1"/>
  <c r="M61" i="46"/>
  <c r="M63" i="46" s="1"/>
  <c r="O85" i="59"/>
  <c r="F50" i="47"/>
  <c r="G47" i="47"/>
  <c r="G48" i="47" s="1"/>
  <c r="E53" i="67"/>
  <c r="E43" i="45"/>
  <c r="O417" i="67"/>
  <c r="O418" i="67" s="1"/>
  <c r="O427" i="67"/>
  <c r="S9" i="62"/>
  <c r="R10" i="60"/>
  <c r="S417" i="67"/>
  <c r="S418" i="67" s="1"/>
  <c r="S427" i="67"/>
  <c r="K417" i="67"/>
  <c r="K418" i="67" s="1"/>
  <c r="K427" i="67"/>
  <c r="M31" i="67"/>
  <c r="N103" i="58"/>
  <c r="M220" i="67"/>
  <c r="M237" i="45"/>
  <c r="Q9" i="59"/>
  <c r="Q9" i="58"/>
  <c r="Q58" i="58" s="1"/>
  <c r="L253" i="67"/>
  <c r="L43" i="67"/>
  <c r="L265" i="67" s="1"/>
  <c r="P427" i="67"/>
  <c r="P417" i="67"/>
  <c r="P418" i="67" s="1"/>
  <c r="L54" i="46"/>
  <c r="L60" i="46" s="1"/>
  <c r="L64" i="46" s="1"/>
  <c r="L28" i="26"/>
  <c r="L30" i="26" s="1"/>
  <c r="L31" i="26" s="1"/>
  <c r="L36" i="26"/>
  <c r="L38" i="26" s="1"/>
  <c r="L40" i="26" s="1"/>
  <c r="L41" i="26" s="1"/>
  <c r="L42" i="26" s="1"/>
  <c r="O62" i="59"/>
  <c r="M53" i="46"/>
  <c r="N64" i="59"/>
  <c r="K94" i="45"/>
  <c r="K32" i="26"/>
  <c r="K108" i="67"/>
  <c r="P77" i="58"/>
  <c r="N32" i="46"/>
  <c r="N33" i="46" s="1"/>
  <c r="N34" i="46" s="1"/>
  <c r="O78" i="58"/>
  <c r="O80" i="58" s="1"/>
  <c r="B144" i="51"/>
  <c r="C144" i="51" s="1"/>
  <c r="D144" i="51" s="1"/>
  <c r="E144" i="51" s="1"/>
  <c r="F144" i="51" s="1"/>
  <c r="G144" i="51" s="1"/>
  <c r="H144" i="51" s="1"/>
  <c r="I144" i="51" s="1"/>
  <c r="K144" i="51" s="1"/>
  <c r="L144" i="51" s="1"/>
  <c r="M144" i="51" s="1"/>
  <c r="N144" i="51" s="1"/>
  <c r="O144" i="51" s="1"/>
  <c r="K9" i="51"/>
  <c r="K2" i="51" s="1"/>
  <c r="Q130" i="51"/>
  <c r="R130" i="51" s="1"/>
  <c r="S130" i="51" s="1"/>
  <c r="T130" i="51" s="1"/>
  <c r="U130" i="51" s="1"/>
  <c r="V130" i="51" s="1"/>
  <c r="W130" i="51" s="1"/>
  <c r="X130" i="51" s="1"/>
  <c r="P130" i="51"/>
  <c r="A158" i="51"/>
  <c r="L3" i="67"/>
  <c r="L2" i="46"/>
  <c r="L17" i="46" s="1"/>
  <c r="L41" i="46" s="1"/>
  <c r="M10" i="59"/>
  <c r="M58" i="59" s="1"/>
  <c r="M56" i="60"/>
  <c r="L3" i="45"/>
  <c r="L2" i="47"/>
  <c r="L23" i="47" s="1"/>
  <c r="L34" i="47" s="1"/>
  <c r="L8" i="26"/>
  <c r="M10" i="58"/>
  <c r="M59" i="58" s="1"/>
  <c r="L2" i="28"/>
  <c r="N11" i="60"/>
  <c r="N15" i="62"/>
  <c r="N24" i="62"/>
  <c r="J423" i="67"/>
  <c r="J434" i="67"/>
  <c r="J299" i="67"/>
  <c r="J351" i="67"/>
  <c r="J401" i="67"/>
  <c r="J333" i="67"/>
  <c r="J312" i="67"/>
  <c r="J380" i="67"/>
  <c r="J361" i="67"/>
  <c r="J319" i="67"/>
  <c r="K37" i="28"/>
  <c r="K70" i="28"/>
  <c r="K1" i="26"/>
  <c r="K26" i="26"/>
  <c r="K34" i="26"/>
  <c r="K79" i="28"/>
  <c r="K201" i="67"/>
  <c r="K97" i="67"/>
  <c r="K212" i="67"/>
  <c r="K179" i="67"/>
  <c r="K129" i="67"/>
  <c r="K90" i="67"/>
  <c r="K111" i="67"/>
  <c r="K139" i="67"/>
  <c r="K158" i="67"/>
  <c r="K225" i="67"/>
  <c r="K77" i="67"/>
  <c r="K124" i="45"/>
  <c r="K189" i="45"/>
  <c r="K181" i="45"/>
  <c r="K229" i="45"/>
  <c r="K83" i="45"/>
  <c r="K173" i="45"/>
  <c r="K97" i="45"/>
  <c r="K140" i="45"/>
  <c r="K76" i="45"/>
  <c r="K115" i="45"/>
  <c r="K199" i="45"/>
  <c r="K219" i="45"/>
  <c r="K63" i="45"/>
  <c r="K158" i="45"/>
  <c r="K3" i="68" s="1"/>
  <c r="K15" i="68" s="1"/>
  <c r="M66" i="62"/>
  <c r="M199" i="62"/>
  <c r="M53" i="62"/>
  <c r="I7" i="68" l="1"/>
  <c r="J95" i="67"/>
  <c r="I222" i="45"/>
  <c r="I215" i="67"/>
  <c r="I283" i="67"/>
  <c r="I437" i="67" s="1"/>
  <c r="I12" i="68"/>
  <c r="I165" i="45"/>
  <c r="I111" i="45" s="1"/>
  <c r="I8" i="68"/>
  <c r="I10" i="68" s="1"/>
  <c r="I53" i="45"/>
  <c r="I404" i="67"/>
  <c r="I322" i="67"/>
  <c r="I355" i="67" s="1"/>
  <c r="I253" i="67"/>
  <c r="I43" i="67"/>
  <c r="I265" i="67" s="1"/>
  <c r="I67" i="67"/>
  <c r="I289" i="67" s="1"/>
  <c r="I165" i="67"/>
  <c r="I125" i="67" s="1"/>
  <c r="G105" i="58"/>
  <c r="G103" i="59"/>
  <c r="I129" i="45"/>
  <c r="I19" i="26"/>
  <c r="I137" i="45" s="1"/>
  <c r="V12" i="26"/>
  <c r="H20" i="26"/>
  <c r="I193" i="67"/>
  <c r="I194" i="67" s="1"/>
  <c r="I271" i="67"/>
  <c r="I415" i="67" s="1"/>
  <c r="I416" i="67" s="1"/>
  <c r="I205" i="67"/>
  <c r="I195" i="67"/>
  <c r="I196" i="67" s="1"/>
  <c r="I63" i="67"/>
  <c r="I285" i="67" s="1"/>
  <c r="I440" i="67"/>
  <c r="I428" i="67" s="1"/>
  <c r="I358" i="67"/>
  <c r="I438" i="67"/>
  <c r="I297" i="67"/>
  <c r="AI8" i="31"/>
  <c r="AJ8" i="31" s="1"/>
  <c r="AI15" i="31"/>
  <c r="AJ15" i="31" s="1"/>
  <c r="AI7" i="31"/>
  <c r="AJ7" i="31"/>
  <c r="AO16" i="31"/>
  <c r="AP16" i="31" s="1"/>
  <c r="AK6" i="31"/>
  <c r="AL6" i="31" s="1"/>
  <c r="AI9" i="31"/>
  <c r="AJ9" i="31"/>
  <c r="AG12" i="31"/>
  <c r="AH12" i="31"/>
  <c r="AO5" i="31"/>
  <c r="AP5" i="31"/>
  <c r="AO10" i="31"/>
  <c r="AP10" i="31"/>
  <c r="L38" i="51"/>
  <c r="X37" i="51"/>
  <c r="M358" i="67"/>
  <c r="M438" i="67"/>
  <c r="M297" i="67"/>
  <c r="M440" i="67"/>
  <c r="M428" i="67" s="1"/>
  <c r="Z4" i="31"/>
  <c r="B327" i="67"/>
  <c r="B436" i="67"/>
  <c r="I34" i="51"/>
  <c r="W33" i="51"/>
  <c r="AM18" i="31"/>
  <c r="AN18" i="31"/>
  <c r="AK14" i="31"/>
  <c r="AL14" i="31"/>
  <c r="T30" i="51"/>
  <c r="C33" i="51"/>
  <c r="AK11" i="31"/>
  <c r="AL11" i="31" s="1"/>
  <c r="G34" i="51"/>
  <c r="V33" i="51"/>
  <c r="B281" i="67"/>
  <c r="B328" i="67" s="1"/>
  <c r="B106" i="67"/>
  <c r="AU3" i="31"/>
  <c r="AT3" i="31"/>
  <c r="T23" i="31"/>
  <c r="M271" i="67"/>
  <c r="M415" i="67" s="1"/>
  <c r="M416" i="67" s="1"/>
  <c r="M193" i="67"/>
  <c r="M194" i="67" s="1"/>
  <c r="Q30" i="51"/>
  <c r="Q31" i="51" s="1"/>
  <c r="B4" i="51" s="1"/>
  <c r="O33" i="51"/>
  <c r="AG13" i="31"/>
  <c r="AH13" i="31" s="1"/>
  <c r="AO17" i="31"/>
  <c r="AP17" i="31" s="1"/>
  <c r="U30" i="51"/>
  <c r="U31" i="51" s="1"/>
  <c r="E33" i="51"/>
  <c r="B221" i="45"/>
  <c r="B204" i="45"/>
  <c r="B206" i="45" s="1"/>
  <c r="B203" i="67"/>
  <c r="B191" i="67"/>
  <c r="B192" i="67" s="1"/>
  <c r="G50" i="47"/>
  <c r="H47" i="47"/>
  <c r="H48" i="47" s="1"/>
  <c r="M182" i="67"/>
  <c r="M233" i="45"/>
  <c r="M191" i="45"/>
  <c r="M103" i="45" s="1"/>
  <c r="M192" i="45"/>
  <c r="M39" i="67"/>
  <c r="M261" i="67" s="1"/>
  <c r="M27" i="67"/>
  <c r="M249" i="67" s="1"/>
  <c r="M217" i="67"/>
  <c r="M216" i="67"/>
  <c r="M181" i="67"/>
  <c r="M117" i="67" s="1"/>
  <c r="M234" i="45"/>
  <c r="I96" i="58"/>
  <c r="G36" i="46"/>
  <c r="G38" i="46" s="1"/>
  <c r="G39" i="46" s="1"/>
  <c r="G66" i="46" s="1"/>
  <c r="H101" i="58"/>
  <c r="H103" i="58" s="1"/>
  <c r="L63" i="67"/>
  <c r="L285" i="67" s="1"/>
  <c r="L205" i="67"/>
  <c r="L195" i="67"/>
  <c r="L196" i="67" s="1"/>
  <c r="D239" i="45"/>
  <c r="D227" i="45" s="1"/>
  <c r="D90" i="45"/>
  <c r="D47" i="45"/>
  <c r="D45" i="45"/>
  <c r="D49" i="45" s="1"/>
  <c r="D92" i="45" s="1"/>
  <c r="L223" i="45"/>
  <c r="L210" i="45"/>
  <c r="L212" i="45" s="1"/>
  <c r="C277" i="67"/>
  <c r="C59" i="67"/>
  <c r="D55" i="67"/>
  <c r="D222" i="67"/>
  <c r="D209" i="67" s="1"/>
  <c r="D104" i="67"/>
  <c r="D57" i="67"/>
  <c r="D275" i="67"/>
  <c r="E239" i="45"/>
  <c r="E227" i="45" s="1"/>
  <c r="E45" i="45"/>
  <c r="E49" i="45" s="1"/>
  <c r="E92" i="45" s="1"/>
  <c r="E47" i="45"/>
  <c r="E90" i="45"/>
  <c r="O87" i="59"/>
  <c r="O93" i="59" s="1"/>
  <c r="N12" i="46"/>
  <c r="N61" i="46"/>
  <c r="N63" i="46" s="1"/>
  <c r="P85" i="59"/>
  <c r="F53" i="67"/>
  <c r="F43" i="45"/>
  <c r="C105" i="67"/>
  <c r="C214" i="67"/>
  <c r="C279" i="67"/>
  <c r="H4" i="46"/>
  <c r="H13" i="46" s="1"/>
  <c r="G15" i="46"/>
  <c r="E275" i="67"/>
  <c r="E104" i="67"/>
  <c r="E222" i="67"/>
  <c r="E209" i="67" s="1"/>
  <c r="E55" i="67"/>
  <c r="E57" i="67"/>
  <c r="C91" i="45"/>
  <c r="C231" i="45"/>
  <c r="C326" i="67"/>
  <c r="C444" i="67"/>
  <c r="C431" i="67" s="1"/>
  <c r="M28" i="26"/>
  <c r="M30" i="26" s="1"/>
  <c r="M31" i="26" s="1"/>
  <c r="M36" i="26"/>
  <c r="M38" i="26" s="1"/>
  <c r="M40" i="26" s="1"/>
  <c r="M41" i="26" s="1"/>
  <c r="M42" i="26" s="1"/>
  <c r="M54" i="46"/>
  <c r="M60" i="46" s="1"/>
  <c r="M64" i="46" s="1"/>
  <c r="N105" i="58"/>
  <c r="N103" i="59"/>
  <c r="M253" i="67"/>
  <c r="M43" i="67"/>
  <c r="M265" i="67" s="1"/>
  <c r="R9" i="59"/>
  <c r="R9" i="58"/>
  <c r="R58" i="58" s="1"/>
  <c r="O32" i="46"/>
  <c r="O33" i="46" s="1"/>
  <c r="O34" i="46" s="1"/>
  <c r="Q77" i="58"/>
  <c r="P78" i="58"/>
  <c r="P80" i="58" s="1"/>
  <c r="L94" i="45"/>
  <c r="L108" i="67"/>
  <c r="L32" i="26"/>
  <c r="T9" i="62"/>
  <c r="S10" i="60"/>
  <c r="P62" i="59"/>
  <c r="N53" i="46"/>
  <c r="O64" i="59"/>
  <c r="N31" i="67"/>
  <c r="O103" i="58"/>
  <c r="N237" i="45"/>
  <c r="N220" i="67"/>
  <c r="K401" i="67"/>
  <c r="K333" i="67"/>
  <c r="K423" i="67"/>
  <c r="K434" i="67"/>
  <c r="K351" i="67"/>
  <c r="K299" i="67"/>
  <c r="K361" i="67"/>
  <c r="K380" i="67"/>
  <c r="K312" i="67"/>
  <c r="K319" i="67"/>
  <c r="L34" i="26"/>
  <c r="L79" i="28"/>
  <c r="L26" i="26"/>
  <c r="L1" i="26"/>
  <c r="M2" i="47"/>
  <c r="M23" i="47" s="1"/>
  <c r="M34" i="47" s="1"/>
  <c r="N10" i="58"/>
  <c r="N59" i="58" s="1"/>
  <c r="M2" i="46"/>
  <c r="M17" i="46" s="1"/>
  <c r="M41" i="46" s="1"/>
  <c r="N56" i="60"/>
  <c r="N10" i="59"/>
  <c r="N58" i="59" s="1"/>
  <c r="A172" i="51"/>
  <c r="M3" i="67"/>
  <c r="M3" i="45"/>
  <c r="M2" i="28"/>
  <c r="M8" i="26"/>
  <c r="N53" i="62"/>
  <c r="N66" i="62"/>
  <c r="N199" i="62"/>
  <c r="L37" i="28"/>
  <c r="L70" i="28"/>
  <c r="L140" i="45"/>
  <c r="L124" i="45"/>
  <c r="L115" i="45"/>
  <c r="L199" i="45"/>
  <c r="L229" i="45"/>
  <c r="L189" i="45"/>
  <c r="L97" i="45"/>
  <c r="L63" i="45"/>
  <c r="L181" i="45"/>
  <c r="L76" i="45"/>
  <c r="L83" i="45"/>
  <c r="L173" i="45"/>
  <c r="L219" i="45"/>
  <c r="L158" i="45"/>
  <c r="L3" i="68" s="1"/>
  <c r="L15" i="68" s="1"/>
  <c r="L97" i="67"/>
  <c r="L179" i="67"/>
  <c r="L158" i="67"/>
  <c r="L139" i="67"/>
  <c r="L111" i="67"/>
  <c r="L90" i="67"/>
  <c r="L129" i="67"/>
  <c r="L212" i="67"/>
  <c r="L77" i="67"/>
  <c r="L201" i="67"/>
  <c r="L225" i="67"/>
  <c r="O24" i="62"/>
  <c r="O11" i="60"/>
  <c r="O15" i="62"/>
  <c r="L9" i="51"/>
  <c r="L2" i="51" s="1"/>
  <c r="B158" i="51"/>
  <c r="C158" i="51" s="1"/>
  <c r="D158" i="51" s="1"/>
  <c r="E158" i="51" s="1"/>
  <c r="F158" i="51" s="1"/>
  <c r="G158" i="51" s="1"/>
  <c r="H158" i="51" s="1"/>
  <c r="I158" i="51" s="1"/>
  <c r="K158" i="51" s="1"/>
  <c r="L158" i="51" s="1"/>
  <c r="M158" i="51" s="1"/>
  <c r="N158" i="51" s="1"/>
  <c r="O158" i="51" s="1"/>
  <c r="P144" i="51"/>
  <c r="Q144" i="51"/>
  <c r="R144" i="51" s="1"/>
  <c r="S144" i="51" s="1"/>
  <c r="T144" i="51" s="1"/>
  <c r="U144" i="51" s="1"/>
  <c r="V144" i="51" s="1"/>
  <c r="W144" i="51" s="1"/>
  <c r="X144" i="51" s="1"/>
  <c r="I9" i="68" l="1"/>
  <c r="I11" i="68" s="1"/>
  <c r="I426" i="67"/>
  <c r="I411" i="67"/>
  <c r="I412" i="67" s="1"/>
  <c r="I204" i="67"/>
  <c r="I189" i="67"/>
  <c r="I190" i="67" s="1"/>
  <c r="H103" i="59"/>
  <c r="H105" i="58"/>
  <c r="I427" i="67"/>
  <c r="I417" i="67"/>
  <c r="I418" i="67" s="1"/>
  <c r="AM11" i="31"/>
  <c r="AN11" i="31" s="1"/>
  <c r="AM6" i="31"/>
  <c r="AN6" i="31"/>
  <c r="AK15" i="31"/>
  <c r="AL15" i="31" s="1"/>
  <c r="AI13" i="31"/>
  <c r="AJ13" i="31"/>
  <c r="AQ17" i="31"/>
  <c r="AR17" i="31" s="1"/>
  <c r="AQ16" i="31"/>
  <c r="AR16" i="31"/>
  <c r="AK8" i="31"/>
  <c r="AL8" i="31"/>
  <c r="T33" i="51"/>
  <c r="C34" i="51"/>
  <c r="AO18" i="31"/>
  <c r="AP18" i="31"/>
  <c r="L39" i="51"/>
  <c r="X38" i="51"/>
  <c r="AQ5" i="31"/>
  <c r="AR5" i="31"/>
  <c r="AK9" i="31"/>
  <c r="AL9" i="31" s="1"/>
  <c r="E34" i="51"/>
  <c r="U33" i="51"/>
  <c r="AW3" i="31"/>
  <c r="AV3" i="31"/>
  <c r="U23" i="31"/>
  <c r="G35" i="51"/>
  <c r="V34" i="51"/>
  <c r="N30" i="51"/>
  <c r="N31" i="51" s="1"/>
  <c r="S31" i="51" s="1"/>
  <c r="T31" i="51"/>
  <c r="M427" i="67"/>
  <c r="M417" i="67"/>
  <c r="M418" i="67" s="1"/>
  <c r="AQ10" i="31"/>
  <c r="AR10" i="31" s="1"/>
  <c r="B6" i="51"/>
  <c r="B425" i="67"/>
  <c r="B413" i="67"/>
  <c r="B414" i="67" s="1"/>
  <c r="AM14" i="31"/>
  <c r="AN14" i="31" s="1"/>
  <c r="AA4" i="31"/>
  <c r="AA19" i="31" s="1"/>
  <c r="K24" i="31" s="1"/>
  <c r="AB4" i="31"/>
  <c r="Z19" i="31"/>
  <c r="AI12" i="31"/>
  <c r="AJ12" i="31" s="1"/>
  <c r="AK7" i="31"/>
  <c r="AL7" i="31"/>
  <c r="O34" i="51"/>
  <c r="Q33" i="51"/>
  <c r="I35" i="51"/>
  <c r="W34" i="51"/>
  <c r="C436" i="67"/>
  <c r="C327" i="67"/>
  <c r="F222" i="67"/>
  <c r="F209" i="67" s="1"/>
  <c r="F104" i="67"/>
  <c r="F275" i="67"/>
  <c r="F57" i="67"/>
  <c r="F55" i="67"/>
  <c r="N181" i="67"/>
  <c r="N117" i="67" s="1"/>
  <c r="N234" i="45"/>
  <c r="N182" i="67"/>
  <c r="N233" i="45"/>
  <c r="N27" i="67"/>
  <c r="N249" i="67" s="1"/>
  <c r="N192" i="45"/>
  <c r="N216" i="67"/>
  <c r="N191" i="45"/>
  <c r="N103" i="45" s="1"/>
  <c r="N217" i="67"/>
  <c r="N39" i="67"/>
  <c r="N261" i="67" s="1"/>
  <c r="M223" i="45"/>
  <c r="M210" i="45"/>
  <c r="M212" i="45" s="1"/>
  <c r="E214" i="67"/>
  <c r="E279" i="67"/>
  <c r="E105" i="67"/>
  <c r="E444" i="67"/>
  <c r="E431" i="67" s="1"/>
  <c r="E326" i="67"/>
  <c r="C191" i="67"/>
  <c r="C192" i="67" s="1"/>
  <c r="C203" i="67"/>
  <c r="P87" i="59"/>
  <c r="P93" i="59" s="1"/>
  <c r="O12" i="46"/>
  <c r="Q85" i="59"/>
  <c r="O61" i="46"/>
  <c r="O63" i="46" s="1"/>
  <c r="D444" i="67"/>
  <c r="D431" i="67" s="1"/>
  <c r="D326" i="67"/>
  <c r="D277" i="67"/>
  <c r="D59" i="67"/>
  <c r="G43" i="45"/>
  <c r="G53" i="67"/>
  <c r="E59" i="67"/>
  <c r="E277" i="67"/>
  <c r="E91" i="45"/>
  <c r="E231" i="45"/>
  <c r="D214" i="67"/>
  <c r="D279" i="67"/>
  <c r="D105" i="67"/>
  <c r="C281" i="67"/>
  <c r="C328" i="67" s="1"/>
  <c r="C106" i="67"/>
  <c r="M205" i="67"/>
  <c r="M195" i="67"/>
  <c r="M196" i="67" s="1"/>
  <c r="M63" i="67"/>
  <c r="M285" i="67" s="1"/>
  <c r="H50" i="47"/>
  <c r="I47" i="47"/>
  <c r="I48" i="47" s="1"/>
  <c r="C221" i="45"/>
  <c r="C204" i="45"/>
  <c r="C206" i="45" s="1"/>
  <c r="I4" i="46"/>
  <c r="I13" i="46" s="1"/>
  <c r="H15" i="46"/>
  <c r="F47" i="45"/>
  <c r="F239" i="45"/>
  <c r="F227" i="45" s="1"/>
  <c r="F45" i="45"/>
  <c r="F49" i="45" s="1"/>
  <c r="F92" i="45" s="1"/>
  <c r="F90" i="45"/>
  <c r="D91" i="45"/>
  <c r="D231" i="45"/>
  <c r="J96" i="58"/>
  <c r="I101" i="58"/>
  <c r="I103" i="58" s="1"/>
  <c r="H36" i="46"/>
  <c r="H38" i="46" s="1"/>
  <c r="H39" i="46" s="1"/>
  <c r="H66" i="46" s="1"/>
  <c r="O105" i="58"/>
  <c r="O103" i="59"/>
  <c r="N54" i="46"/>
  <c r="N60" i="46" s="1"/>
  <c r="N64" i="46" s="1"/>
  <c r="N36" i="26"/>
  <c r="N38" i="26" s="1"/>
  <c r="N40" i="26" s="1"/>
  <c r="N41" i="26" s="1"/>
  <c r="N42" i="26" s="1"/>
  <c r="N28" i="26"/>
  <c r="N30" i="26" s="1"/>
  <c r="N31" i="26" s="1"/>
  <c r="S9" i="58"/>
  <c r="S58" i="58" s="1"/>
  <c r="S9" i="59"/>
  <c r="P103" i="58"/>
  <c r="O31" i="67"/>
  <c r="O220" i="67"/>
  <c r="O237" i="45"/>
  <c r="T10" i="60"/>
  <c r="U9" i="62"/>
  <c r="Q78" i="58"/>
  <c r="Q80" i="58" s="1"/>
  <c r="P32" i="46"/>
  <c r="P33" i="46" s="1"/>
  <c r="P34" i="46" s="1"/>
  <c r="R77" i="58"/>
  <c r="N253" i="67"/>
  <c r="N43" i="67"/>
  <c r="N265" i="67" s="1"/>
  <c r="O53" i="46"/>
  <c r="P64" i="59"/>
  <c r="Q62" i="59"/>
  <c r="M108" i="67"/>
  <c r="M32" i="26"/>
  <c r="M94" i="45"/>
  <c r="Q158" i="51"/>
  <c r="R158" i="51" s="1"/>
  <c r="S158" i="51" s="1"/>
  <c r="T158" i="51" s="1"/>
  <c r="U158" i="51" s="1"/>
  <c r="V158" i="51" s="1"/>
  <c r="W158" i="51" s="1"/>
  <c r="X158" i="51" s="1"/>
  <c r="P158" i="51"/>
  <c r="M34" i="26"/>
  <c r="M79" i="28"/>
  <c r="M26" i="26"/>
  <c r="M1" i="26"/>
  <c r="M9" i="51"/>
  <c r="M2" i="51" s="1"/>
  <c r="B172" i="51"/>
  <c r="C172" i="51" s="1"/>
  <c r="D172" i="51" s="1"/>
  <c r="E172" i="51" s="1"/>
  <c r="F172" i="51" s="1"/>
  <c r="G172" i="51" s="1"/>
  <c r="H172" i="51" s="1"/>
  <c r="I172" i="51" s="1"/>
  <c r="K172" i="51" s="1"/>
  <c r="L172" i="51" s="1"/>
  <c r="M172" i="51" s="1"/>
  <c r="N172" i="51" s="1"/>
  <c r="O172" i="51" s="1"/>
  <c r="O199" i="62"/>
  <c r="O53" i="62"/>
  <c r="O66" i="62"/>
  <c r="M70" i="28"/>
  <c r="M37" i="28"/>
  <c r="L333" i="67"/>
  <c r="L351" i="67"/>
  <c r="L319" i="67"/>
  <c r="L423" i="67"/>
  <c r="L401" i="67"/>
  <c r="L361" i="67"/>
  <c r="L312" i="67"/>
  <c r="L380" i="67"/>
  <c r="L434" i="67"/>
  <c r="L299" i="67"/>
  <c r="M189" i="45"/>
  <c r="M173" i="45"/>
  <c r="M199" i="45"/>
  <c r="M158" i="45"/>
  <c r="M3" i="68" s="1"/>
  <c r="M15" i="68" s="1"/>
  <c r="M83" i="45"/>
  <c r="M140" i="45"/>
  <c r="M181" i="45"/>
  <c r="M229" i="45"/>
  <c r="M63" i="45"/>
  <c r="M76" i="45"/>
  <c r="M124" i="45"/>
  <c r="M97" i="45"/>
  <c r="M115" i="45"/>
  <c r="M219" i="45"/>
  <c r="P15" i="62"/>
  <c r="P24" i="62"/>
  <c r="P11" i="60"/>
  <c r="N2" i="47"/>
  <c r="N23" i="47" s="1"/>
  <c r="N34" i="47" s="1"/>
  <c r="N8" i="26"/>
  <c r="N2" i="28"/>
  <c r="A186" i="51"/>
  <c r="O10" i="59"/>
  <c r="O58" i="59" s="1"/>
  <c r="O56" i="60"/>
  <c r="N3" i="67"/>
  <c r="N3" i="45"/>
  <c r="O10" i="58"/>
  <c r="O59" i="58" s="1"/>
  <c r="N2" i="46"/>
  <c r="N17" i="46" s="1"/>
  <c r="N41" i="46" s="1"/>
  <c r="M212" i="67"/>
  <c r="M77" i="67"/>
  <c r="M90" i="67"/>
  <c r="M201" i="67"/>
  <c r="M139" i="67"/>
  <c r="M129" i="67"/>
  <c r="M97" i="67"/>
  <c r="M179" i="67"/>
  <c r="M225" i="67"/>
  <c r="M111" i="67"/>
  <c r="M158" i="67"/>
  <c r="I103" i="59" l="1"/>
  <c r="I105" i="58"/>
  <c r="AS10" i="31"/>
  <c r="AT10" i="31" s="1"/>
  <c r="AM15" i="31"/>
  <c r="AN15" i="31"/>
  <c r="AS17" i="31"/>
  <c r="AT17" i="31" s="1"/>
  <c r="AL12" i="31"/>
  <c r="AK12" i="31"/>
  <c r="AO14" i="31"/>
  <c r="AP14" i="31" s="1"/>
  <c r="AM9" i="31"/>
  <c r="AN9" i="31" s="1"/>
  <c r="AO11" i="31"/>
  <c r="AP11" i="31" s="1"/>
  <c r="AM7" i="31"/>
  <c r="AN7" i="31"/>
  <c r="V23" i="31"/>
  <c r="AX3" i="31"/>
  <c r="AS16" i="31"/>
  <c r="AT16" i="31"/>
  <c r="I36" i="51"/>
  <c r="W35" i="51"/>
  <c r="AC4" i="31"/>
  <c r="AC19" i="31" s="1"/>
  <c r="L24" i="31" s="1"/>
  <c r="AB19" i="31"/>
  <c r="V35" i="51"/>
  <c r="G36" i="51"/>
  <c r="AS5" i="31"/>
  <c r="AT5" i="31"/>
  <c r="AQ18" i="31"/>
  <c r="AR18" i="31"/>
  <c r="N33" i="51"/>
  <c r="AO6" i="31"/>
  <c r="AP6" i="31"/>
  <c r="U34" i="51"/>
  <c r="E35" i="51"/>
  <c r="AM8" i="31"/>
  <c r="AN8" i="31"/>
  <c r="X39" i="51"/>
  <c r="L40" i="51"/>
  <c r="AK13" i="31"/>
  <c r="AL13" i="31" s="1"/>
  <c r="Q34" i="51"/>
  <c r="O35" i="51"/>
  <c r="C35" i="51"/>
  <c r="T34" i="51"/>
  <c r="N34" i="51" s="1"/>
  <c r="D204" i="45"/>
  <c r="D206" i="45" s="1"/>
  <c r="D221" i="45"/>
  <c r="E221" i="45"/>
  <c r="E204" i="45"/>
  <c r="E206" i="45" s="1"/>
  <c r="G222" i="67"/>
  <c r="G209" i="67" s="1"/>
  <c r="G275" i="67"/>
  <c r="G104" i="67"/>
  <c r="G55" i="67"/>
  <c r="G57" i="67"/>
  <c r="E191" i="67"/>
  <c r="E192" i="67" s="1"/>
  <c r="E203" i="67"/>
  <c r="F91" i="45"/>
  <c r="F231" i="45"/>
  <c r="G45" i="45"/>
  <c r="G49" i="45" s="1"/>
  <c r="G92" i="45" s="1"/>
  <c r="G90" i="45"/>
  <c r="G239" i="45"/>
  <c r="G227" i="45" s="1"/>
  <c r="G47" i="45"/>
  <c r="O181" i="67"/>
  <c r="O117" i="67" s="1"/>
  <c r="O192" i="45"/>
  <c r="O27" i="67"/>
  <c r="O249" i="67" s="1"/>
  <c r="O233" i="45"/>
  <c r="O182" i="67"/>
  <c r="O217" i="67"/>
  <c r="O216" i="67"/>
  <c r="O191" i="45"/>
  <c r="O103" i="45" s="1"/>
  <c r="O234" i="45"/>
  <c r="O39" i="67"/>
  <c r="O261" i="67" s="1"/>
  <c r="N210" i="45"/>
  <c r="N212" i="45" s="1"/>
  <c r="N223" i="45"/>
  <c r="F59" i="67"/>
  <c r="F277" i="67"/>
  <c r="H53" i="67"/>
  <c r="H43" i="45"/>
  <c r="J47" i="47"/>
  <c r="J48" i="47" s="1"/>
  <c r="I50" i="47"/>
  <c r="D436" i="67"/>
  <c r="D327" i="67"/>
  <c r="D106" i="67"/>
  <c r="D281" i="67"/>
  <c r="D328" i="67" s="1"/>
  <c r="N205" i="67"/>
  <c r="N195" i="67"/>
  <c r="N196" i="67" s="1"/>
  <c r="N63" i="67"/>
  <c r="N285" i="67" s="1"/>
  <c r="F279" i="67"/>
  <c r="F214" i="67"/>
  <c r="F105" i="67"/>
  <c r="K96" i="58"/>
  <c r="J101" i="58"/>
  <c r="J103" i="58" s="1"/>
  <c r="I36" i="46"/>
  <c r="I38" i="46" s="1"/>
  <c r="I39" i="46" s="1"/>
  <c r="I66" i="46" s="1"/>
  <c r="J4" i="46"/>
  <c r="J13" i="46" s="1"/>
  <c r="I15" i="46"/>
  <c r="D191" i="67"/>
  <c r="D192" i="67" s="1"/>
  <c r="D203" i="67"/>
  <c r="E281" i="67"/>
  <c r="E328" i="67" s="1"/>
  <c r="E106" i="67"/>
  <c r="R85" i="59"/>
  <c r="P12" i="46"/>
  <c r="Q87" i="59"/>
  <c r="Q93" i="59" s="1"/>
  <c r="P61" i="46"/>
  <c r="P63" i="46" s="1"/>
  <c r="E327" i="67"/>
  <c r="E436" i="67"/>
  <c r="F444" i="67"/>
  <c r="F431" i="67" s="1"/>
  <c r="F326" i="67"/>
  <c r="C425" i="67"/>
  <c r="C413" i="67"/>
  <c r="C414" i="67" s="1"/>
  <c r="R62" i="59"/>
  <c r="Q64" i="59"/>
  <c r="P53" i="46"/>
  <c r="R78" i="58"/>
  <c r="R80" i="58" s="1"/>
  <c r="S77" i="58"/>
  <c r="Q32" i="46"/>
  <c r="Q33" i="46" s="1"/>
  <c r="Q34" i="46" s="1"/>
  <c r="T9" i="58"/>
  <c r="T58" i="58" s="1"/>
  <c r="T9" i="59"/>
  <c r="O54" i="46"/>
  <c r="O60" i="46" s="1"/>
  <c r="O64" i="46" s="1"/>
  <c r="O36" i="26"/>
  <c r="O38" i="26" s="1"/>
  <c r="O40" i="26" s="1"/>
  <c r="O41" i="26" s="1"/>
  <c r="O42" i="26" s="1"/>
  <c r="O28" i="26"/>
  <c r="O30" i="26" s="1"/>
  <c r="O31" i="26" s="1"/>
  <c r="P31" i="67"/>
  <c r="Q103" i="58"/>
  <c r="P237" i="45"/>
  <c r="P220" i="67"/>
  <c r="N32" i="26"/>
  <c r="N108" i="67"/>
  <c r="N94" i="45"/>
  <c r="V9" i="62"/>
  <c r="V10" i="60" s="1"/>
  <c r="U10" i="60"/>
  <c r="O253" i="67"/>
  <c r="O43" i="67"/>
  <c r="O265" i="67" s="1"/>
  <c r="P105" i="58"/>
  <c r="P103" i="59"/>
  <c r="N37" i="28"/>
  <c r="N70" i="28"/>
  <c r="Q172" i="51"/>
  <c r="R172" i="51" s="1"/>
  <c r="S172" i="51" s="1"/>
  <c r="T172" i="51" s="1"/>
  <c r="U172" i="51" s="1"/>
  <c r="V172" i="51" s="1"/>
  <c r="W172" i="51" s="1"/>
  <c r="X172" i="51" s="1"/>
  <c r="P172" i="51"/>
  <c r="N26" i="26"/>
  <c r="N34" i="26"/>
  <c r="N79" i="28"/>
  <c r="N1" i="26"/>
  <c r="N212" i="67"/>
  <c r="N179" i="67"/>
  <c r="N158" i="67"/>
  <c r="N225" i="67"/>
  <c r="N90" i="67"/>
  <c r="N139" i="67"/>
  <c r="N97" i="67"/>
  <c r="N111" i="67"/>
  <c r="N201" i="67"/>
  <c r="N77" i="67"/>
  <c r="N129" i="67"/>
  <c r="M401" i="67"/>
  <c r="M333" i="67"/>
  <c r="M319" i="67"/>
  <c r="M312" i="67"/>
  <c r="M351" i="67"/>
  <c r="M434" i="67"/>
  <c r="M380" i="67"/>
  <c r="M299" i="67"/>
  <c r="M423" i="67"/>
  <c r="M361" i="67"/>
  <c r="P199" i="62"/>
  <c r="P53" i="62"/>
  <c r="P66" i="62"/>
  <c r="Q11" i="60"/>
  <c r="Q15" i="62"/>
  <c r="Q24" i="62"/>
  <c r="N83" i="45"/>
  <c r="N158" i="45"/>
  <c r="N3" i="68" s="1"/>
  <c r="N15" i="68" s="1"/>
  <c r="N229" i="45"/>
  <c r="N63" i="45"/>
  <c r="N199" i="45"/>
  <c r="N124" i="45"/>
  <c r="N173" i="45"/>
  <c r="N97" i="45"/>
  <c r="N189" i="45"/>
  <c r="N181" i="45"/>
  <c r="N219" i="45"/>
  <c r="N115" i="45"/>
  <c r="N140" i="45"/>
  <c r="N76" i="45"/>
  <c r="N9" i="51"/>
  <c r="N2" i="51" s="1"/>
  <c r="B186" i="51"/>
  <c r="C186" i="51" s="1"/>
  <c r="D186" i="51" s="1"/>
  <c r="E186" i="51" s="1"/>
  <c r="F186" i="51" s="1"/>
  <c r="G186" i="51" s="1"/>
  <c r="H186" i="51" s="1"/>
  <c r="I186" i="51" s="1"/>
  <c r="K186" i="51" s="1"/>
  <c r="L186" i="51" s="1"/>
  <c r="M186" i="51" s="1"/>
  <c r="N186" i="51" s="1"/>
  <c r="O186" i="51" s="1"/>
  <c r="O3" i="45"/>
  <c r="A200" i="51"/>
  <c r="O8" i="26"/>
  <c r="O2" i="47"/>
  <c r="O23" i="47" s="1"/>
  <c r="O34" i="47" s="1"/>
  <c r="O2" i="28"/>
  <c r="P10" i="58"/>
  <c r="P59" i="58" s="1"/>
  <c r="O2" i="46"/>
  <c r="O17" i="46" s="1"/>
  <c r="O41" i="46" s="1"/>
  <c r="P10" i="59"/>
  <c r="P58" i="59" s="1"/>
  <c r="P56" i="60"/>
  <c r="O3" i="67"/>
  <c r="J105" i="58" l="1"/>
  <c r="J103" i="59"/>
  <c r="AO9" i="31"/>
  <c r="AP9" i="31" s="1"/>
  <c r="AM13" i="31"/>
  <c r="AN13" i="31" s="1"/>
  <c r="AQ14" i="31"/>
  <c r="AR14" i="31" s="1"/>
  <c r="AU17" i="31"/>
  <c r="AV17" i="31" s="1"/>
  <c r="AQ11" i="31"/>
  <c r="AR11" i="31" s="1"/>
  <c r="AU10" i="31"/>
  <c r="AV10" i="31" s="1"/>
  <c r="AP8" i="31"/>
  <c r="AO8" i="31"/>
  <c r="AU5" i="31"/>
  <c r="AV5" i="31"/>
  <c r="AM12" i="31"/>
  <c r="AN12" i="31"/>
  <c r="AO15" i="31"/>
  <c r="AP15" i="31" s="1"/>
  <c r="C36" i="51"/>
  <c r="T35" i="51"/>
  <c r="AQ6" i="31"/>
  <c r="AR6" i="31"/>
  <c r="W36" i="51"/>
  <c r="I37" i="51"/>
  <c r="Q35" i="51"/>
  <c r="O36" i="51"/>
  <c r="L41" i="51"/>
  <c r="X40" i="51"/>
  <c r="U35" i="51"/>
  <c r="E36" i="51"/>
  <c r="AS18" i="31"/>
  <c r="AT18" i="31"/>
  <c r="AU16" i="31"/>
  <c r="AV16" i="31" s="1"/>
  <c r="AO7" i="31"/>
  <c r="AP7" i="31" s="1"/>
  <c r="G37" i="51"/>
  <c r="V36" i="51"/>
  <c r="AD4" i="31"/>
  <c r="R87" i="59"/>
  <c r="R93" i="59" s="1"/>
  <c r="Q61" i="46"/>
  <c r="Q63" i="46" s="1"/>
  <c r="S85" i="59"/>
  <c r="Q12" i="46"/>
  <c r="I53" i="67"/>
  <c r="I43" i="45"/>
  <c r="F327" i="67"/>
  <c r="F436" i="67"/>
  <c r="G277" i="67"/>
  <c r="G59" i="67"/>
  <c r="L96" i="58"/>
  <c r="K101" i="58"/>
  <c r="K103" i="58" s="1"/>
  <c r="J36" i="46"/>
  <c r="J38" i="46" s="1"/>
  <c r="J39" i="46" s="1"/>
  <c r="J66" i="46" s="1"/>
  <c r="K47" i="47"/>
  <c r="K48" i="47" s="1"/>
  <c r="J50" i="47"/>
  <c r="F106" i="67"/>
  <c r="F281" i="67"/>
  <c r="F328" i="67" s="1"/>
  <c r="P181" i="67"/>
  <c r="P117" i="67" s="1"/>
  <c r="P217" i="67"/>
  <c r="P216" i="67"/>
  <c r="P191" i="45"/>
  <c r="P103" i="45" s="1"/>
  <c r="P234" i="45"/>
  <c r="P182" i="67"/>
  <c r="P233" i="45"/>
  <c r="P27" i="67"/>
  <c r="P249" i="67" s="1"/>
  <c r="P192" i="45"/>
  <c r="P39" i="67"/>
  <c r="P261" i="67" s="1"/>
  <c r="K4" i="46"/>
  <c r="K13" i="46" s="1"/>
  <c r="J15" i="46"/>
  <c r="H239" i="45"/>
  <c r="H227" i="45" s="1"/>
  <c r="H45" i="45"/>
  <c r="H49" i="45" s="1"/>
  <c r="H92" i="45" s="1"/>
  <c r="H47" i="45"/>
  <c r="H90" i="45"/>
  <c r="O210" i="45"/>
  <c r="O212" i="45" s="1"/>
  <c r="O223" i="45"/>
  <c r="G91" i="45"/>
  <c r="G231" i="45"/>
  <c r="F204" i="45"/>
  <c r="F206" i="45" s="1"/>
  <c r="F221" i="45"/>
  <c r="G444" i="67"/>
  <c r="G431" i="67" s="1"/>
  <c r="G326" i="67"/>
  <c r="E425" i="67"/>
  <c r="E413" i="67"/>
  <c r="E414" i="67" s="1"/>
  <c r="F203" i="67"/>
  <c r="F191" i="67"/>
  <c r="F192" i="67" s="1"/>
  <c r="D425" i="67"/>
  <c r="D413" i="67"/>
  <c r="D414" i="67" s="1"/>
  <c r="H222" i="67"/>
  <c r="H209" i="67" s="1"/>
  <c r="H104" i="67"/>
  <c r="H57" i="67"/>
  <c r="H55" i="67"/>
  <c r="H275" i="67"/>
  <c r="O205" i="67"/>
  <c r="O195" i="67"/>
  <c r="O196" i="67" s="1"/>
  <c r="O63" i="67"/>
  <c r="O285" i="67" s="1"/>
  <c r="G279" i="67"/>
  <c r="G214" i="67"/>
  <c r="G105" i="67"/>
  <c r="V9" i="59"/>
  <c r="V9" i="58"/>
  <c r="V58" i="58" s="1"/>
  <c r="P253" i="67"/>
  <c r="P43" i="67"/>
  <c r="P265" i="67" s="1"/>
  <c r="O94" i="45"/>
  <c r="O108" i="67"/>
  <c r="O32" i="26"/>
  <c r="P36" i="26"/>
  <c r="P38" i="26" s="1"/>
  <c r="P40" i="26" s="1"/>
  <c r="P41" i="26" s="1"/>
  <c r="P42" i="26" s="1"/>
  <c r="P54" i="46"/>
  <c r="P60" i="46" s="1"/>
  <c r="P64" i="46" s="1"/>
  <c r="P28" i="26"/>
  <c r="P30" i="26" s="1"/>
  <c r="P31" i="26" s="1"/>
  <c r="R64" i="59"/>
  <c r="S62" i="59"/>
  <c r="Q53" i="46"/>
  <c r="R32" i="46"/>
  <c r="R33" i="46" s="1"/>
  <c r="R34" i="46" s="1"/>
  <c r="S78" i="58"/>
  <c r="S80" i="58" s="1"/>
  <c r="T77" i="58"/>
  <c r="U9" i="59"/>
  <c r="U9" i="58"/>
  <c r="U58" i="58" s="1"/>
  <c r="Q105" i="58"/>
  <c r="Q103" i="59"/>
  <c r="R103" i="58"/>
  <c r="Q31" i="67"/>
  <c r="Q220" i="67"/>
  <c r="Q237" i="45"/>
  <c r="R24" i="62"/>
  <c r="R15" i="62"/>
  <c r="R11" i="60"/>
  <c r="O34" i="26"/>
  <c r="O1" i="26"/>
  <c r="O79" i="28"/>
  <c r="O26" i="26"/>
  <c r="Q199" i="62"/>
  <c r="Q53" i="62"/>
  <c r="Q66" i="62"/>
  <c r="N319" i="67"/>
  <c r="N361" i="67"/>
  <c r="N351" i="67"/>
  <c r="N401" i="67"/>
  <c r="N380" i="67"/>
  <c r="N423" i="67"/>
  <c r="N333" i="67"/>
  <c r="N434" i="67"/>
  <c r="N299" i="67"/>
  <c r="N312" i="67"/>
  <c r="P186" i="51"/>
  <c r="Q186" i="51"/>
  <c r="R186" i="51" s="1"/>
  <c r="S186" i="51" s="1"/>
  <c r="T186" i="51" s="1"/>
  <c r="U186" i="51" s="1"/>
  <c r="V186" i="51" s="1"/>
  <c r="W186" i="51" s="1"/>
  <c r="X186" i="51" s="1"/>
  <c r="O111" i="67"/>
  <c r="O225" i="67"/>
  <c r="O158" i="67"/>
  <c r="O129" i="67"/>
  <c r="O97" i="67"/>
  <c r="O201" i="67"/>
  <c r="O139" i="67"/>
  <c r="O90" i="67"/>
  <c r="O179" i="67"/>
  <c r="O77" i="67"/>
  <c r="O212" i="67"/>
  <c r="O9" i="51"/>
  <c r="O2" i="51" s="1"/>
  <c r="B200" i="51"/>
  <c r="C200" i="51" s="1"/>
  <c r="D200" i="51" s="1"/>
  <c r="E200" i="51" s="1"/>
  <c r="F200" i="51" s="1"/>
  <c r="G200" i="51" s="1"/>
  <c r="H200" i="51" s="1"/>
  <c r="I200" i="51" s="1"/>
  <c r="K200" i="51" s="1"/>
  <c r="L200" i="51" s="1"/>
  <c r="M200" i="51" s="1"/>
  <c r="N200" i="51" s="1"/>
  <c r="O200" i="51" s="1"/>
  <c r="O37" i="28"/>
  <c r="O70" i="28"/>
  <c r="O83" i="45"/>
  <c r="O115" i="45"/>
  <c r="O173" i="45"/>
  <c r="O219" i="45"/>
  <c r="O124" i="45"/>
  <c r="O63" i="45"/>
  <c r="O199" i="45"/>
  <c r="O97" i="45"/>
  <c r="O76" i="45"/>
  <c r="O189" i="45"/>
  <c r="O229" i="45"/>
  <c r="O140" i="45"/>
  <c r="O158" i="45"/>
  <c r="O3" i="68" s="1"/>
  <c r="O15" i="68" s="1"/>
  <c r="O181" i="45"/>
  <c r="P2" i="47"/>
  <c r="P23" i="47" s="1"/>
  <c r="P34" i="47" s="1"/>
  <c r="P2" i="28"/>
  <c r="P2" i="46"/>
  <c r="P17" i="46" s="1"/>
  <c r="P41" i="46" s="1"/>
  <c r="P8" i="26"/>
  <c r="Q10" i="59"/>
  <c r="Q58" i="59" s="1"/>
  <c r="Q56" i="60"/>
  <c r="Q10" i="58"/>
  <c r="Q59" i="58" s="1"/>
  <c r="A214" i="51"/>
  <c r="B214" i="51" s="1"/>
  <c r="P3" i="45"/>
  <c r="P3" i="67"/>
  <c r="K105" i="58" l="1"/>
  <c r="K103" i="59"/>
  <c r="AW16" i="31"/>
  <c r="AX16" i="31"/>
  <c r="AS14" i="31"/>
  <c r="AT14" i="31" s="1"/>
  <c r="AW10" i="31"/>
  <c r="AX10" i="31" s="1"/>
  <c r="AO13" i="31"/>
  <c r="AP13" i="31" s="1"/>
  <c r="AW17" i="31"/>
  <c r="AX17" i="31" s="1"/>
  <c r="AQ7" i="31"/>
  <c r="AR7" i="31" s="1"/>
  <c r="AQ15" i="31"/>
  <c r="AR15" i="31" s="1"/>
  <c r="AT11" i="31"/>
  <c r="AS11" i="31"/>
  <c r="AQ9" i="31"/>
  <c r="AR9" i="31" s="1"/>
  <c r="V37" i="51"/>
  <c r="G38" i="51"/>
  <c r="U36" i="51"/>
  <c r="E37" i="51"/>
  <c r="AS6" i="31"/>
  <c r="AT6" i="31" s="1"/>
  <c r="AQ8" i="31"/>
  <c r="AR8" i="31" s="1"/>
  <c r="AD19" i="31"/>
  <c r="AE4" i="31"/>
  <c r="AE19" i="31" s="1"/>
  <c r="M24" i="31" s="1"/>
  <c r="AV18" i="31"/>
  <c r="AU18" i="31"/>
  <c r="W37" i="51"/>
  <c r="I38" i="51"/>
  <c r="N35" i="51"/>
  <c r="AP12" i="31"/>
  <c r="AO12" i="31"/>
  <c r="Q36" i="51"/>
  <c r="O37" i="51"/>
  <c r="AX5" i="31"/>
  <c r="AW5" i="31"/>
  <c r="X41" i="51"/>
  <c r="L42" i="51"/>
  <c r="C37" i="51"/>
  <c r="T36" i="51"/>
  <c r="H277" i="67"/>
  <c r="H59" i="67"/>
  <c r="K36" i="46"/>
  <c r="K38" i="46" s="1"/>
  <c r="K39" i="46" s="1"/>
  <c r="K66" i="46" s="1"/>
  <c r="L101" i="58"/>
  <c r="L103" i="58" s="1"/>
  <c r="M96" i="58"/>
  <c r="F413" i="67"/>
  <c r="F414" i="67" s="1"/>
  <c r="F425" i="67"/>
  <c r="H214" i="67"/>
  <c r="H105" i="67"/>
  <c r="H279" i="67"/>
  <c r="K50" i="47"/>
  <c r="L47" i="47"/>
  <c r="L48" i="47" s="1"/>
  <c r="S87" i="59"/>
  <c r="S93" i="59" s="1"/>
  <c r="R12" i="46"/>
  <c r="R61" i="46"/>
  <c r="R63" i="46" s="1"/>
  <c r="T85" i="59"/>
  <c r="G203" i="67"/>
  <c r="G191" i="67"/>
  <c r="G192" i="67" s="1"/>
  <c r="G221" i="45"/>
  <c r="G204" i="45"/>
  <c r="G206" i="45" s="1"/>
  <c r="G106" i="67"/>
  <c r="G281" i="67"/>
  <c r="G328" i="67" s="1"/>
  <c r="I47" i="45"/>
  <c r="I45" i="45"/>
  <c r="I49" i="45" s="1"/>
  <c r="I92" i="45" s="1"/>
  <c r="I90" i="45"/>
  <c r="I239" i="45"/>
  <c r="I227" i="45" s="1"/>
  <c r="G436" i="67"/>
  <c r="G327" i="67"/>
  <c r="H326" i="67"/>
  <c r="H444" i="67"/>
  <c r="H431" i="67" s="1"/>
  <c r="H231" i="45"/>
  <c r="H91" i="45"/>
  <c r="K15" i="46"/>
  <c r="L4" i="46"/>
  <c r="L13" i="46" s="1"/>
  <c r="P223" i="45"/>
  <c r="P210" i="45"/>
  <c r="P212" i="45" s="1"/>
  <c r="P63" i="67"/>
  <c r="P285" i="67" s="1"/>
  <c r="P195" i="67"/>
  <c r="P196" i="67" s="1"/>
  <c r="P205" i="67"/>
  <c r="J43" i="45"/>
  <c r="J53" i="67"/>
  <c r="I222" i="67"/>
  <c r="I209" i="67" s="1"/>
  <c r="I55" i="67"/>
  <c r="I57" i="67"/>
  <c r="I275" i="67"/>
  <c r="I104" i="67"/>
  <c r="Q191" i="45"/>
  <c r="Q103" i="45" s="1"/>
  <c r="Q234" i="45"/>
  <c r="Q216" i="67"/>
  <c r="Q181" i="67"/>
  <c r="Q117" i="67" s="1"/>
  <c r="Q192" i="45"/>
  <c r="Q182" i="67"/>
  <c r="Q233" i="45"/>
  <c r="Q27" i="67"/>
  <c r="Q249" i="67" s="1"/>
  <c r="Q217" i="67"/>
  <c r="Q39" i="67"/>
  <c r="Q261" i="67" s="1"/>
  <c r="Q253" i="67"/>
  <c r="Q43" i="67"/>
  <c r="Q265" i="67" s="1"/>
  <c r="U77" i="58"/>
  <c r="S32" i="46"/>
  <c r="S33" i="46" s="1"/>
  <c r="S34" i="46" s="1"/>
  <c r="T78" i="58"/>
  <c r="T80" i="58" s="1"/>
  <c r="Q36" i="26"/>
  <c r="Q38" i="26" s="1"/>
  <c r="Q40" i="26" s="1"/>
  <c r="Q41" i="26" s="1"/>
  <c r="Q42" i="26" s="1"/>
  <c r="Q28" i="26"/>
  <c r="Q30" i="26" s="1"/>
  <c r="Q31" i="26" s="1"/>
  <c r="Q54" i="46"/>
  <c r="Q60" i="46" s="1"/>
  <c r="Q64" i="46" s="1"/>
  <c r="R105" i="58"/>
  <c r="R103" i="59"/>
  <c r="R31" i="67"/>
  <c r="S103" i="58"/>
  <c r="R220" i="67"/>
  <c r="R237" i="45"/>
  <c r="T62" i="59"/>
  <c r="S64" i="59"/>
  <c r="R53" i="46"/>
  <c r="P32" i="26"/>
  <c r="P108" i="67"/>
  <c r="P94" i="45"/>
  <c r="P200" i="51"/>
  <c r="Q200" i="51"/>
  <c r="R200" i="51" s="1"/>
  <c r="S200" i="51" s="1"/>
  <c r="T200" i="51" s="1"/>
  <c r="U200" i="51" s="1"/>
  <c r="V200" i="51" s="1"/>
  <c r="W200" i="51" s="1"/>
  <c r="X200" i="51" s="1"/>
  <c r="P9" i="51"/>
  <c r="P2" i="51" s="1"/>
  <c r="C214" i="51"/>
  <c r="D214" i="51" s="1"/>
  <c r="E214" i="51" s="1"/>
  <c r="F214" i="51" s="1"/>
  <c r="G214" i="51" s="1"/>
  <c r="H214" i="51" s="1"/>
  <c r="I214" i="51" s="1"/>
  <c r="K214" i="51" s="1"/>
  <c r="L214" i="51" s="1"/>
  <c r="M214" i="51" s="1"/>
  <c r="N214" i="51" s="1"/>
  <c r="O214" i="51" s="1"/>
  <c r="Q3" i="67"/>
  <c r="R10" i="59"/>
  <c r="R58" i="59" s="1"/>
  <c r="Q8" i="26"/>
  <c r="Q2" i="28"/>
  <c r="Q3" i="45"/>
  <c r="A228" i="51"/>
  <c r="B228" i="51" s="1"/>
  <c r="C228" i="51" s="1"/>
  <c r="R56" i="60"/>
  <c r="Q2" i="46"/>
  <c r="Q17" i="46" s="1"/>
  <c r="Q41" i="46" s="1"/>
  <c r="Q2" i="47"/>
  <c r="Q23" i="47" s="1"/>
  <c r="Q34" i="47" s="1"/>
  <c r="R10" i="58"/>
  <c r="R59" i="58" s="1"/>
  <c r="P37" i="28"/>
  <c r="P70" i="28"/>
  <c r="R53" i="62"/>
  <c r="R66" i="62"/>
  <c r="R199" i="62"/>
  <c r="P79" i="28"/>
  <c r="P26" i="26"/>
  <c r="P34" i="26"/>
  <c r="P1" i="26"/>
  <c r="P77" i="67"/>
  <c r="P179" i="67"/>
  <c r="P212" i="67"/>
  <c r="P158" i="67"/>
  <c r="P111" i="67"/>
  <c r="P97" i="67"/>
  <c r="P139" i="67"/>
  <c r="P225" i="67"/>
  <c r="P129" i="67"/>
  <c r="P201" i="67"/>
  <c r="P90" i="67"/>
  <c r="P63" i="45"/>
  <c r="P181" i="45"/>
  <c r="P140" i="45"/>
  <c r="P158" i="45"/>
  <c r="P3" i="68" s="1"/>
  <c r="P15" i="68" s="1"/>
  <c r="P199" i="45"/>
  <c r="P219" i="45"/>
  <c r="P76" i="45"/>
  <c r="P97" i="45"/>
  <c r="P229" i="45"/>
  <c r="P115" i="45"/>
  <c r="P83" i="45"/>
  <c r="P173" i="45"/>
  <c r="P124" i="45"/>
  <c r="P189" i="45"/>
  <c r="O434" i="67"/>
  <c r="O312" i="67"/>
  <c r="O361" i="67"/>
  <c r="O423" i="67"/>
  <c r="O299" i="67"/>
  <c r="O401" i="67"/>
  <c r="O333" i="67"/>
  <c r="O351" i="67"/>
  <c r="O319" i="67"/>
  <c r="O380" i="67"/>
  <c r="S24" i="62"/>
  <c r="S11" i="60"/>
  <c r="S15" i="62"/>
  <c r="L105" i="58" l="1"/>
  <c r="L103" i="59"/>
  <c r="AU6" i="31"/>
  <c r="AV6" i="31" s="1"/>
  <c r="AT9" i="31"/>
  <c r="AS9" i="31"/>
  <c r="AS7" i="31"/>
  <c r="AT7" i="31"/>
  <c r="AU14" i="31"/>
  <c r="AV14" i="31" s="1"/>
  <c r="AS15" i="31"/>
  <c r="AT15" i="31" s="1"/>
  <c r="AS8" i="31"/>
  <c r="AT8" i="31" s="1"/>
  <c r="AQ13" i="31"/>
  <c r="AR13" i="31"/>
  <c r="L43" i="51"/>
  <c r="X42" i="51"/>
  <c r="Q37" i="51"/>
  <c r="O38" i="51"/>
  <c r="AW18" i="31"/>
  <c r="AX18" i="31" s="1"/>
  <c r="E38" i="51"/>
  <c r="U37" i="51"/>
  <c r="AU11" i="31"/>
  <c r="AV11" i="31" s="1"/>
  <c r="W38" i="51"/>
  <c r="I39" i="51"/>
  <c r="AF4" i="31"/>
  <c r="N36" i="51"/>
  <c r="C38" i="51"/>
  <c r="T37" i="51"/>
  <c r="AQ12" i="31"/>
  <c r="AR12" i="31" s="1"/>
  <c r="V38" i="51"/>
  <c r="G39" i="51"/>
  <c r="I277" i="67"/>
  <c r="I59" i="67"/>
  <c r="H204" i="45"/>
  <c r="H206" i="45" s="1"/>
  <c r="H221" i="45"/>
  <c r="G413" i="67"/>
  <c r="G414" i="67" s="1"/>
  <c r="G425" i="67"/>
  <c r="I91" i="45"/>
  <c r="I231" i="45"/>
  <c r="S61" i="46"/>
  <c r="S63" i="46" s="1"/>
  <c r="U85" i="59"/>
  <c r="S12" i="46"/>
  <c r="T87" i="59"/>
  <c r="T93" i="59" s="1"/>
  <c r="M47" i="47"/>
  <c r="M48" i="47" s="1"/>
  <c r="L50" i="47"/>
  <c r="H191" i="67"/>
  <c r="H192" i="67" s="1"/>
  <c r="H203" i="67"/>
  <c r="K43" i="45"/>
  <c r="K53" i="67"/>
  <c r="L15" i="46"/>
  <c r="M4" i="46"/>
  <c r="M13" i="46" s="1"/>
  <c r="Q223" i="45"/>
  <c r="Q210" i="45"/>
  <c r="Q212" i="45" s="1"/>
  <c r="Q205" i="67"/>
  <c r="Q63" i="67"/>
  <c r="Q285" i="67" s="1"/>
  <c r="Q195" i="67"/>
  <c r="Q196" i="67" s="1"/>
  <c r="I326" i="67"/>
  <c r="I444" i="67"/>
  <c r="I431" i="67" s="1"/>
  <c r="J104" i="67"/>
  <c r="J57" i="67"/>
  <c r="J222" i="67"/>
  <c r="J209" i="67" s="1"/>
  <c r="J55" i="67"/>
  <c r="J275" i="67"/>
  <c r="H327" i="67"/>
  <c r="H436" i="67"/>
  <c r="H106" i="67"/>
  <c r="H281" i="67"/>
  <c r="H328" i="67" s="1"/>
  <c r="I105" i="67"/>
  <c r="I279" i="67"/>
  <c r="I214" i="67"/>
  <c r="J239" i="45"/>
  <c r="J227" i="45" s="1"/>
  <c r="J45" i="45"/>
  <c r="J49" i="45" s="1"/>
  <c r="J92" i="45" s="1"/>
  <c r="J90" i="45"/>
  <c r="J47" i="45"/>
  <c r="R27" i="67"/>
  <c r="R249" i="67" s="1"/>
  <c r="R217" i="67"/>
  <c r="R182" i="67"/>
  <c r="R233" i="45"/>
  <c r="R181" i="67"/>
  <c r="R117" i="67" s="1"/>
  <c r="R234" i="45"/>
  <c r="R216" i="67"/>
  <c r="R191" i="45"/>
  <c r="R103" i="45" s="1"/>
  <c r="R192" i="45"/>
  <c r="R39" i="67"/>
  <c r="R261" i="67" s="1"/>
  <c r="N96" i="58"/>
  <c r="M101" i="58"/>
  <c r="M103" i="58" s="1"/>
  <c r="L36" i="46"/>
  <c r="L38" i="46" s="1"/>
  <c r="L39" i="46" s="1"/>
  <c r="L66" i="46" s="1"/>
  <c r="R253" i="67"/>
  <c r="R43" i="67"/>
  <c r="R265" i="67" s="1"/>
  <c r="R36" i="26"/>
  <c r="R38" i="26" s="1"/>
  <c r="R40" i="26" s="1"/>
  <c r="R41" i="26" s="1"/>
  <c r="R42" i="26" s="1"/>
  <c r="R54" i="46"/>
  <c r="R60" i="46" s="1"/>
  <c r="R64" i="46" s="1"/>
  <c r="R28" i="26"/>
  <c r="R30" i="26" s="1"/>
  <c r="R31" i="26" s="1"/>
  <c r="Q32" i="26"/>
  <c r="Q94" i="45"/>
  <c r="Q108" i="67"/>
  <c r="U78" i="58"/>
  <c r="U80" i="58" s="1"/>
  <c r="T32" i="46"/>
  <c r="T33" i="46" s="1"/>
  <c r="T34" i="46" s="1"/>
  <c r="V77" i="58"/>
  <c r="S53" i="46"/>
  <c r="T64" i="59"/>
  <c r="U62" i="59"/>
  <c r="S105" i="58"/>
  <c r="S103" i="59"/>
  <c r="S31" i="67"/>
  <c r="T103" i="58"/>
  <c r="S220" i="67"/>
  <c r="S237" i="45"/>
  <c r="Q70" i="28"/>
  <c r="Q37" i="28"/>
  <c r="Q214" i="51"/>
  <c r="R214" i="51" s="1"/>
  <c r="S214" i="51" s="1"/>
  <c r="T214" i="51" s="1"/>
  <c r="U214" i="51" s="1"/>
  <c r="V214" i="51" s="1"/>
  <c r="W214" i="51" s="1"/>
  <c r="X214" i="51" s="1"/>
  <c r="P214" i="51"/>
  <c r="S53" i="62"/>
  <c r="S66" i="62"/>
  <c r="S199" i="62"/>
  <c r="P319" i="67"/>
  <c r="P299" i="67"/>
  <c r="P423" i="67"/>
  <c r="P380" i="67"/>
  <c r="P333" i="67"/>
  <c r="P434" i="67"/>
  <c r="P361" i="67"/>
  <c r="P401" i="67"/>
  <c r="P351" i="67"/>
  <c r="P312" i="67"/>
  <c r="Q1" i="26"/>
  <c r="Q34" i="26"/>
  <c r="Q26" i="26"/>
  <c r="Q79" i="28"/>
  <c r="R2" i="28"/>
  <c r="A242" i="51"/>
  <c r="B242" i="51" s="1"/>
  <c r="C242" i="51" s="1"/>
  <c r="D242" i="51" s="1"/>
  <c r="S10" i="59"/>
  <c r="S58" i="59" s="1"/>
  <c r="R8" i="26"/>
  <c r="S56" i="60"/>
  <c r="S10" i="58"/>
  <c r="S59" i="58" s="1"/>
  <c r="R3" i="67"/>
  <c r="R2" i="47"/>
  <c r="R23" i="47" s="1"/>
  <c r="R34" i="47" s="1"/>
  <c r="R3" i="45"/>
  <c r="R2" i="46"/>
  <c r="R17" i="46" s="1"/>
  <c r="R41" i="46" s="1"/>
  <c r="T15" i="62"/>
  <c r="T24" i="62"/>
  <c r="T11" i="60"/>
  <c r="D228" i="51"/>
  <c r="E228" i="51" s="1"/>
  <c r="F228" i="51" s="1"/>
  <c r="G228" i="51" s="1"/>
  <c r="H228" i="51" s="1"/>
  <c r="I228" i="51" s="1"/>
  <c r="K228" i="51" s="1"/>
  <c r="L228" i="51" s="1"/>
  <c r="M228" i="51" s="1"/>
  <c r="N228" i="51" s="1"/>
  <c r="O228" i="51" s="1"/>
  <c r="Q9" i="51"/>
  <c r="Q2" i="51" s="1"/>
  <c r="Q173" i="45"/>
  <c r="Q158" i="45"/>
  <c r="Q3" i="68" s="1"/>
  <c r="Q15" i="68" s="1"/>
  <c r="Q199" i="45"/>
  <c r="Q63" i="45"/>
  <c r="Q115" i="45"/>
  <c r="Q124" i="45"/>
  <c r="Q229" i="45"/>
  <c r="Q189" i="45"/>
  <c r="Q97" i="45"/>
  <c r="Q140" i="45"/>
  <c r="Q76" i="45"/>
  <c r="Q83" i="45"/>
  <c r="Q219" i="45"/>
  <c r="Q181" i="45"/>
  <c r="Q139" i="67"/>
  <c r="Q129" i="67"/>
  <c r="Q111" i="67"/>
  <c r="Q179" i="67"/>
  <c r="Q97" i="67"/>
  <c r="Q77" i="67"/>
  <c r="Q225" i="67"/>
  <c r="Q158" i="67"/>
  <c r="Q90" i="67"/>
  <c r="Q212" i="67"/>
  <c r="Q201" i="67"/>
  <c r="M105" i="58" l="1"/>
  <c r="M103" i="59"/>
  <c r="AU8" i="31"/>
  <c r="AV8" i="31"/>
  <c r="AU15" i="31"/>
  <c r="AV15" i="31"/>
  <c r="AW11" i="31"/>
  <c r="AX11" i="31"/>
  <c r="AW14" i="31"/>
  <c r="AX14" i="31" s="1"/>
  <c r="AS12" i="31"/>
  <c r="AT12" i="31"/>
  <c r="AW6" i="31"/>
  <c r="AX6" i="31" s="1"/>
  <c r="C39" i="51"/>
  <c r="T38" i="51"/>
  <c r="U38" i="51"/>
  <c r="E39" i="51"/>
  <c r="Q38" i="51"/>
  <c r="O39" i="51"/>
  <c r="AS13" i="31"/>
  <c r="AT13" i="31"/>
  <c r="AU7" i="31"/>
  <c r="AV7" i="31" s="1"/>
  <c r="AU9" i="31"/>
  <c r="AV9" i="31"/>
  <c r="I40" i="51"/>
  <c r="W39" i="51"/>
  <c r="L44" i="51"/>
  <c r="X43" i="51"/>
  <c r="V39" i="51"/>
  <c r="G40" i="51"/>
  <c r="N37" i="51"/>
  <c r="AG4" i="31"/>
  <c r="AG19" i="31" s="1"/>
  <c r="N24" i="31" s="1"/>
  <c r="AF19" i="31"/>
  <c r="L43" i="45"/>
  <c r="L53" i="67"/>
  <c r="R210" i="45"/>
  <c r="R212" i="45" s="1"/>
  <c r="R223" i="45"/>
  <c r="J91" i="45"/>
  <c r="J231" i="45"/>
  <c r="I203" i="67"/>
  <c r="I191" i="67"/>
  <c r="I192" i="67" s="1"/>
  <c r="J326" i="67"/>
  <c r="J444" i="67"/>
  <c r="J431" i="67" s="1"/>
  <c r="M15" i="46"/>
  <c r="N4" i="46"/>
  <c r="N13" i="46" s="1"/>
  <c r="S181" i="67"/>
  <c r="S117" i="67" s="1"/>
  <c r="S234" i="45"/>
  <c r="S191" i="45"/>
  <c r="S103" i="45" s="1"/>
  <c r="S233" i="45"/>
  <c r="S27" i="67"/>
  <c r="S249" i="67" s="1"/>
  <c r="S192" i="45"/>
  <c r="S39" i="67"/>
  <c r="S261" i="67" s="1"/>
  <c r="S182" i="67"/>
  <c r="S217" i="67"/>
  <c r="S216" i="67"/>
  <c r="I221" i="45"/>
  <c r="I204" i="45"/>
  <c r="I206" i="45" s="1"/>
  <c r="M36" i="46"/>
  <c r="M38" i="46" s="1"/>
  <c r="M39" i="46" s="1"/>
  <c r="M66" i="46" s="1"/>
  <c r="N101" i="58"/>
  <c r="O96" i="58"/>
  <c r="R63" i="67"/>
  <c r="R285" i="67" s="1"/>
  <c r="R195" i="67"/>
  <c r="R196" i="67" s="1"/>
  <c r="R205" i="67"/>
  <c r="I436" i="67"/>
  <c r="I327" i="67"/>
  <c r="J277" i="67"/>
  <c r="J59" i="67"/>
  <c r="H413" i="67"/>
  <c r="H414" i="67" s="1"/>
  <c r="H425" i="67"/>
  <c r="K104" i="67"/>
  <c r="K222" i="67"/>
  <c r="K209" i="67" s="1"/>
  <c r="K275" i="67"/>
  <c r="K55" i="67"/>
  <c r="K57" i="67"/>
  <c r="U87" i="59"/>
  <c r="U93" i="59" s="1"/>
  <c r="T61" i="46"/>
  <c r="T63" i="46" s="1"/>
  <c r="T12" i="46"/>
  <c r="V85" i="59"/>
  <c r="I281" i="67"/>
  <c r="I328" i="67" s="1"/>
  <c r="I106" i="67"/>
  <c r="J105" i="67"/>
  <c r="J279" i="67"/>
  <c r="J214" i="67"/>
  <c r="K239" i="45"/>
  <c r="K227" i="45" s="1"/>
  <c r="K45" i="45"/>
  <c r="K49" i="45" s="1"/>
  <c r="K92" i="45" s="1"/>
  <c r="K47" i="45"/>
  <c r="K90" i="45"/>
  <c r="M50" i="47"/>
  <c r="N47" i="47"/>
  <c r="N48" i="47" s="1"/>
  <c r="T105" i="58"/>
  <c r="T103" i="59"/>
  <c r="U32" i="46"/>
  <c r="U33" i="46" s="1"/>
  <c r="U34" i="46" s="1"/>
  <c r="V78" i="58"/>
  <c r="V80" i="58" s="1"/>
  <c r="S253" i="67"/>
  <c r="S43" i="67"/>
  <c r="S265" i="67" s="1"/>
  <c r="T53" i="46"/>
  <c r="U64" i="59"/>
  <c r="V62" i="59"/>
  <c r="R32" i="26"/>
  <c r="R108" i="67"/>
  <c r="R94" i="45"/>
  <c r="S36" i="26"/>
  <c r="S38" i="26" s="1"/>
  <c r="S40" i="26" s="1"/>
  <c r="S41" i="26" s="1"/>
  <c r="S42" i="26" s="1"/>
  <c r="S28" i="26"/>
  <c r="S30" i="26" s="1"/>
  <c r="S31" i="26" s="1"/>
  <c r="S54" i="46"/>
  <c r="S60" i="46" s="1"/>
  <c r="S64" i="46" s="1"/>
  <c r="U103" i="58"/>
  <c r="T31" i="67"/>
  <c r="T237" i="45"/>
  <c r="T220" i="67"/>
  <c r="R139" i="67"/>
  <c r="R179" i="67"/>
  <c r="R158" i="67"/>
  <c r="R129" i="67"/>
  <c r="R201" i="67"/>
  <c r="R90" i="67"/>
  <c r="R77" i="67"/>
  <c r="R111" i="67"/>
  <c r="R225" i="67"/>
  <c r="R212" i="67"/>
  <c r="R97" i="67"/>
  <c r="R9" i="51"/>
  <c r="R2" i="51" s="1"/>
  <c r="E242" i="51"/>
  <c r="F242" i="51" s="1"/>
  <c r="G242" i="51" s="1"/>
  <c r="H242" i="51" s="1"/>
  <c r="I242" i="51" s="1"/>
  <c r="K242" i="51" s="1"/>
  <c r="L242" i="51" s="1"/>
  <c r="M242" i="51" s="1"/>
  <c r="U24" i="62"/>
  <c r="U15" i="62"/>
  <c r="U11" i="60"/>
  <c r="R70" i="28"/>
  <c r="R37" i="28"/>
  <c r="P228" i="51"/>
  <c r="Q228" i="51"/>
  <c r="R228" i="51" s="1"/>
  <c r="S228" i="51" s="1"/>
  <c r="T228" i="51" s="1"/>
  <c r="U228" i="51" s="1"/>
  <c r="V228" i="51" s="1"/>
  <c r="W228" i="51" s="1"/>
  <c r="X228" i="51" s="1"/>
  <c r="S3" i="45"/>
  <c r="S2" i="28"/>
  <c r="S3" i="67"/>
  <c r="T56" i="60"/>
  <c r="S8" i="26"/>
  <c r="S2" i="47"/>
  <c r="S23" i="47" s="1"/>
  <c r="S34" i="47" s="1"/>
  <c r="A256" i="51"/>
  <c r="B256" i="51" s="1"/>
  <c r="C256" i="51" s="1"/>
  <c r="D256" i="51" s="1"/>
  <c r="E256" i="51" s="1"/>
  <c r="T10" i="58"/>
  <c r="T59" i="58" s="1"/>
  <c r="S2" i="46"/>
  <c r="S17" i="46" s="1"/>
  <c r="S41" i="46" s="1"/>
  <c r="T10" i="59"/>
  <c r="T58" i="59" s="1"/>
  <c r="Q434" i="67"/>
  <c r="Q333" i="67"/>
  <c r="Q401" i="67"/>
  <c r="Q299" i="67"/>
  <c r="Q319" i="67"/>
  <c r="Q361" i="67"/>
  <c r="Q380" i="67"/>
  <c r="Q423" i="67"/>
  <c r="Q312" i="67"/>
  <c r="Q351" i="67"/>
  <c r="R219" i="45"/>
  <c r="R229" i="45"/>
  <c r="R181" i="45"/>
  <c r="R158" i="45"/>
  <c r="R3" i="68" s="1"/>
  <c r="R15" i="68" s="1"/>
  <c r="R173" i="45"/>
  <c r="R140" i="45"/>
  <c r="R76" i="45"/>
  <c r="R115" i="45"/>
  <c r="R199" i="45"/>
  <c r="R97" i="45"/>
  <c r="R83" i="45"/>
  <c r="R124" i="45"/>
  <c r="R63" i="45"/>
  <c r="R189" i="45"/>
  <c r="T66" i="62"/>
  <c r="T53" i="62"/>
  <c r="T199" i="62"/>
  <c r="R79" i="28"/>
  <c r="R34" i="26"/>
  <c r="R1" i="26"/>
  <c r="R26" i="26"/>
  <c r="AW7" i="31" l="1"/>
  <c r="AX7" i="31" s="1"/>
  <c r="L47" i="51"/>
  <c r="X44" i="51"/>
  <c r="X45" i="51" s="1"/>
  <c r="AW9" i="31"/>
  <c r="AX9" i="31" s="1"/>
  <c r="AU13" i="31"/>
  <c r="AV13" i="31" s="1"/>
  <c r="AW15" i="31"/>
  <c r="AX15" i="31" s="1"/>
  <c r="V40" i="51"/>
  <c r="G41" i="51"/>
  <c r="Q39" i="51"/>
  <c r="O40" i="51"/>
  <c r="N38" i="51"/>
  <c r="AU12" i="31"/>
  <c r="AV12" i="31"/>
  <c r="AW8" i="31"/>
  <c r="AX8" i="31" s="1"/>
  <c r="E40" i="51"/>
  <c r="U39" i="51"/>
  <c r="AH4" i="31"/>
  <c r="I41" i="51"/>
  <c r="W40" i="51"/>
  <c r="C40" i="51"/>
  <c r="T39" i="51"/>
  <c r="N39" i="51" s="1"/>
  <c r="N50" i="47"/>
  <c r="O47" i="47"/>
  <c r="O48" i="47" s="1"/>
  <c r="K277" i="67"/>
  <c r="K59" i="67"/>
  <c r="S223" i="45"/>
  <c r="S210" i="45"/>
  <c r="S212" i="45" s="1"/>
  <c r="N15" i="46"/>
  <c r="O4" i="46"/>
  <c r="O13" i="46" s="1"/>
  <c r="K326" i="67"/>
  <c r="K444" i="67"/>
  <c r="K431" i="67" s="1"/>
  <c r="I425" i="67"/>
  <c r="I413" i="67"/>
  <c r="I414" i="67" s="1"/>
  <c r="N36" i="46"/>
  <c r="N38" i="46" s="1"/>
  <c r="N39" i="46" s="1"/>
  <c r="N66" i="46" s="1"/>
  <c r="O101" i="58"/>
  <c r="P96" i="58"/>
  <c r="J203" i="67"/>
  <c r="J191" i="67"/>
  <c r="J192" i="67" s="1"/>
  <c r="T182" i="67"/>
  <c r="T233" i="45"/>
  <c r="T27" i="67"/>
  <c r="T249" i="67" s="1"/>
  <c r="T234" i="45"/>
  <c r="T39" i="67"/>
  <c r="T261" i="67" s="1"/>
  <c r="T181" i="67"/>
  <c r="T117" i="67" s="1"/>
  <c r="T217" i="67"/>
  <c r="T216" i="67"/>
  <c r="T191" i="45"/>
  <c r="T103" i="45" s="1"/>
  <c r="T192" i="45"/>
  <c r="J281" i="67"/>
  <c r="J328" i="67" s="1"/>
  <c r="J106" i="67"/>
  <c r="M53" i="67"/>
  <c r="M43" i="45"/>
  <c r="S205" i="67"/>
  <c r="S63" i="67"/>
  <c r="S285" i="67" s="1"/>
  <c r="S195" i="67"/>
  <c r="S196" i="67" s="1"/>
  <c r="J204" i="45"/>
  <c r="J206" i="45" s="1"/>
  <c r="J221" i="45"/>
  <c r="L275" i="67"/>
  <c r="L222" i="67"/>
  <c r="L209" i="67" s="1"/>
  <c r="L104" i="67"/>
  <c r="L55" i="67"/>
  <c r="L57" i="67"/>
  <c r="K91" i="45"/>
  <c r="K231" i="45"/>
  <c r="J327" i="67"/>
  <c r="J436" i="67"/>
  <c r="V87" i="59"/>
  <c r="V93" i="59" s="1"/>
  <c r="U12" i="46"/>
  <c r="U61" i="46"/>
  <c r="U63" i="46" s="1"/>
  <c r="K105" i="67"/>
  <c r="K279" i="67"/>
  <c r="K214" i="67"/>
  <c r="L47" i="45"/>
  <c r="L45" i="45"/>
  <c r="L49" i="45" s="1"/>
  <c r="L92" i="45" s="1"/>
  <c r="L239" i="45"/>
  <c r="L227" i="45" s="1"/>
  <c r="L90" i="45"/>
  <c r="U105" i="58"/>
  <c r="U103" i="59"/>
  <c r="T54" i="46"/>
  <c r="T60" i="46" s="1"/>
  <c r="T64" i="46" s="1"/>
  <c r="T36" i="26"/>
  <c r="T38" i="26" s="1"/>
  <c r="T40" i="26" s="1"/>
  <c r="T41" i="26" s="1"/>
  <c r="T42" i="26" s="1"/>
  <c r="T28" i="26"/>
  <c r="T30" i="26" s="1"/>
  <c r="T31" i="26" s="1"/>
  <c r="T253" i="67"/>
  <c r="T43" i="67"/>
  <c r="T265" i="67" s="1"/>
  <c r="U31" i="67"/>
  <c r="V103" i="58"/>
  <c r="U237" i="45"/>
  <c r="U220" i="67"/>
  <c r="S94" i="45"/>
  <c r="S108" i="67"/>
  <c r="S32" i="26"/>
  <c r="V64" i="59"/>
  <c r="U53" i="46"/>
  <c r="F256" i="51"/>
  <c r="G256" i="51" s="1"/>
  <c r="H256" i="51" s="1"/>
  <c r="I256" i="51" s="1"/>
  <c r="K256" i="51" s="1"/>
  <c r="L256" i="51" s="1"/>
  <c r="M256" i="51" s="1"/>
  <c r="N256" i="51" s="1"/>
  <c r="O256" i="51" s="1"/>
  <c r="S9" i="51"/>
  <c r="S2" i="51" s="1"/>
  <c r="S139" i="67"/>
  <c r="S179" i="67"/>
  <c r="S97" i="67"/>
  <c r="S201" i="67"/>
  <c r="S90" i="67"/>
  <c r="S129" i="67"/>
  <c r="S158" i="67"/>
  <c r="S225" i="67"/>
  <c r="S77" i="67"/>
  <c r="S111" i="67"/>
  <c r="S212" i="67"/>
  <c r="T2" i="28"/>
  <c r="T8" i="26"/>
  <c r="U10" i="59"/>
  <c r="U58" i="59" s="1"/>
  <c r="U10" i="58"/>
  <c r="U59" i="58" s="1"/>
  <c r="T3" i="67"/>
  <c r="T2" i="47"/>
  <c r="T23" i="47" s="1"/>
  <c r="T34" i="47" s="1"/>
  <c r="T2" i="46"/>
  <c r="T17" i="46" s="1"/>
  <c r="T41" i="46" s="1"/>
  <c r="A270" i="51"/>
  <c r="B270" i="51" s="1"/>
  <c r="C270" i="51" s="1"/>
  <c r="D270" i="51" s="1"/>
  <c r="E270" i="51" s="1"/>
  <c r="F270" i="51" s="1"/>
  <c r="U56" i="60"/>
  <c r="T3" i="45"/>
  <c r="S70" i="28"/>
  <c r="S37" i="28"/>
  <c r="S34" i="26"/>
  <c r="S1" i="26"/>
  <c r="S79" i="28"/>
  <c r="S26" i="26"/>
  <c r="S124" i="45"/>
  <c r="S219" i="45"/>
  <c r="S63" i="45"/>
  <c r="S158" i="45"/>
  <c r="S3" i="68" s="1"/>
  <c r="S15" i="68" s="1"/>
  <c r="S115" i="45"/>
  <c r="S181" i="45"/>
  <c r="S173" i="45"/>
  <c r="S199" i="45"/>
  <c r="S229" i="45"/>
  <c r="S76" i="45"/>
  <c r="S83" i="45"/>
  <c r="S189" i="45"/>
  <c r="S97" i="45"/>
  <c r="S140" i="45"/>
  <c r="U66" i="62"/>
  <c r="U199" i="62"/>
  <c r="U53" i="62"/>
  <c r="V24" i="62"/>
  <c r="V11" i="60"/>
  <c r="V15" i="62"/>
  <c r="N242" i="51"/>
  <c r="O242" i="51" s="1"/>
  <c r="R434" i="67"/>
  <c r="R333" i="67"/>
  <c r="R401" i="67"/>
  <c r="R299" i="67"/>
  <c r="R361" i="67"/>
  <c r="R319" i="67"/>
  <c r="R351" i="67"/>
  <c r="R423" i="67"/>
  <c r="R380" i="67"/>
  <c r="R312" i="67"/>
  <c r="AW13" i="31" l="1"/>
  <c r="AX13" i="31" s="1"/>
  <c r="T40" i="51"/>
  <c r="N40" i="51" s="1"/>
  <c r="C41" i="51"/>
  <c r="AW12" i="31"/>
  <c r="AX12" i="31"/>
  <c r="O41" i="51"/>
  <c r="Q40" i="51"/>
  <c r="E41" i="51"/>
  <c r="U40" i="51"/>
  <c r="AH19" i="31"/>
  <c r="AI4" i="31"/>
  <c r="AI19" i="31" s="1"/>
  <c r="O24" i="31" s="1"/>
  <c r="L48" i="51"/>
  <c r="X47" i="51"/>
  <c r="D11" i="51"/>
  <c r="I42" i="51"/>
  <c r="W41" i="51"/>
  <c r="V41" i="51"/>
  <c r="G42" i="51"/>
  <c r="L91" i="45"/>
  <c r="L231" i="45"/>
  <c r="L59" i="67"/>
  <c r="L277" i="67"/>
  <c r="P4" i="46"/>
  <c r="P13" i="46" s="1"/>
  <c r="O15" i="46"/>
  <c r="K106" i="67"/>
  <c r="K281" i="67"/>
  <c r="K328" i="67" s="1"/>
  <c r="K203" i="67"/>
  <c r="K191" i="67"/>
  <c r="K192" i="67" s="1"/>
  <c r="K221" i="45"/>
  <c r="K204" i="45"/>
  <c r="K206" i="45" s="1"/>
  <c r="M45" i="45"/>
  <c r="M49" i="45" s="1"/>
  <c r="M92" i="45" s="1"/>
  <c r="M47" i="45"/>
  <c r="M239" i="45"/>
  <c r="M227" i="45" s="1"/>
  <c r="M90" i="45"/>
  <c r="T223" i="45"/>
  <c r="T210" i="45"/>
  <c r="T212" i="45" s="1"/>
  <c r="Q96" i="58"/>
  <c r="O36" i="46"/>
  <c r="O38" i="46" s="1"/>
  <c r="O39" i="46" s="1"/>
  <c r="O66" i="46" s="1"/>
  <c r="P101" i="58"/>
  <c r="K327" i="67"/>
  <c r="K436" i="67"/>
  <c r="U191" i="45"/>
  <c r="U103" i="45" s="1"/>
  <c r="U217" i="67"/>
  <c r="U39" i="67"/>
  <c r="U261" i="67" s="1"/>
  <c r="U27" i="67"/>
  <c r="U249" i="67" s="1"/>
  <c r="U192" i="45"/>
  <c r="U182" i="67"/>
  <c r="U233" i="45"/>
  <c r="U181" i="67"/>
  <c r="U117" i="67" s="1"/>
  <c r="U234" i="45"/>
  <c r="U216" i="67"/>
  <c r="M55" i="67"/>
  <c r="M57" i="67"/>
  <c r="M104" i="67"/>
  <c r="M275" i="67"/>
  <c r="M222" i="67"/>
  <c r="M209" i="67" s="1"/>
  <c r="N43" i="45"/>
  <c r="N53" i="67"/>
  <c r="O50" i="47"/>
  <c r="P47" i="47"/>
  <c r="P48" i="47" s="1"/>
  <c r="J425" i="67"/>
  <c r="J413" i="67"/>
  <c r="J414" i="67" s="1"/>
  <c r="L105" i="67"/>
  <c r="L279" i="67"/>
  <c r="L214" i="67"/>
  <c r="L444" i="67"/>
  <c r="L431" i="67" s="1"/>
  <c r="L326" i="67"/>
  <c r="T195" i="67"/>
  <c r="T196" i="67" s="1"/>
  <c r="T205" i="67"/>
  <c r="T63" i="67"/>
  <c r="T285" i="67" s="1"/>
  <c r="V105" i="58"/>
  <c r="V103" i="59"/>
  <c r="U253" i="67"/>
  <c r="U43" i="67"/>
  <c r="U265" i="67" s="1"/>
  <c r="T108" i="67"/>
  <c r="T94" i="45"/>
  <c r="T32" i="26"/>
  <c r="U28" i="26"/>
  <c r="U30" i="26" s="1"/>
  <c r="U31" i="26" s="1"/>
  <c r="U54" i="46"/>
  <c r="U60" i="46" s="1"/>
  <c r="U64" i="46" s="1"/>
  <c r="U36" i="26"/>
  <c r="U38" i="26" s="1"/>
  <c r="U40" i="26" s="1"/>
  <c r="U41" i="26" s="1"/>
  <c r="U42" i="26" s="1"/>
  <c r="A284" i="51"/>
  <c r="B284" i="51" s="1"/>
  <c r="C284" i="51" s="1"/>
  <c r="D284" i="51" s="1"/>
  <c r="E284" i="51" s="1"/>
  <c r="F284" i="51" s="1"/>
  <c r="G284" i="51" s="1"/>
  <c r="U2" i="28"/>
  <c r="U3" i="45"/>
  <c r="U8" i="26"/>
  <c r="U3" i="67"/>
  <c r="U2" i="47"/>
  <c r="U23" i="47" s="1"/>
  <c r="U34" i="47" s="1"/>
  <c r="V10" i="59"/>
  <c r="V58" i="59" s="1"/>
  <c r="V10" i="58"/>
  <c r="V59" i="58" s="1"/>
  <c r="V56" i="60"/>
  <c r="U2" i="46"/>
  <c r="U17" i="46" s="1"/>
  <c r="U41" i="46" s="1"/>
  <c r="V199" i="62"/>
  <c r="V66" i="62"/>
  <c r="V53" i="62"/>
  <c r="T76" i="45"/>
  <c r="T219" i="45"/>
  <c r="T97" i="45"/>
  <c r="T199" i="45"/>
  <c r="T124" i="45"/>
  <c r="T189" i="45"/>
  <c r="T140" i="45"/>
  <c r="T83" i="45"/>
  <c r="T229" i="45"/>
  <c r="T115" i="45"/>
  <c r="T181" i="45"/>
  <c r="T173" i="45"/>
  <c r="T158" i="45"/>
  <c r="T3" i="68" s="1"/>
  <c r="T15" i="68" s="1"/>
  <c r="T63" i="45"/>
  <c r="T34" i="26"/>
  <c r="T79" i="28"/>
  <c r="T1" i="26"/>
  <c r="T26" i="26"/>
  <c r="P242" i="51"/>
  <c r="Q242" i="51"/>
  <c r="R242" i="51" s="1"/>
  <c r="S242" i="51" s="1"/>
  <c r="T242" i="51" s="1"/>
  <c r="U242" i="51" s="1"/>
  <c r="V242" i="51" s="1"/>
  <c r="W242" i="51" s="1"/>
  <c r="X242" i="51" s="1"/>
  <c r="T129" i="67"/>
  <c r="T158" i="67"/>
  <c r="T212" i="67"/>
  <c r="T90" i="67"/>
  <c r="T111" i="67"/>
  <c r="T77" i="67"/>
  <c r="T179" i="67"/>
  <c r="T139" i="67"/>
  <c r="T97" i="67"/>
  <c r="T201" i="67"/>
  <c r="T225" i="67"/>
  <c r="T37" i="28"/>
  <c r="T70" i="28"/>
  <c r="S380" i="67"/>
  <c r="S423" i="67"/>
  <c r="S312" i="67"/>
  <c r="S319" i="67"/>
  <c r="S401" i="67"/>
  <c r="S361" i="67"/>
  <c r="S299" i="67"/>
  <c r="S434" i="67"/>
  <c r="S351" i="67"/>
  <c r="S333" i="67"/>
  <c r="G270" i="51"/>
  <c r="H270" i="51" s="1"/>
  <c r="I270" i="51" s="1"/>
  <c r="K270" i="51" s="1"/>
  <c r="L270" i="51" s="1"/>
  <c r="M270" i="51" s="1"/>
  <c r="N270" i="51" s="1"/>
  <c r="O270" i="51" s="1"/>
  <c r="T9" i="51"/>
  <c r="T2" i="51" s="1"/>
  <c r="P256" i="51"/>
  <c r="Q256" i="51"/>
  <c r="R256" i="51" s="1"/>
  <c r="S256" i="51" s="1"/>
  <c r="T256" i="51" s="1"/>
  <c r="U256" i="51" s="1"/>
  <c r="V256" i="51" s="1"/>
  <c r="W256" i="51" s="1"/>
  <c r="X256" i="51" s="1"/>
  <c r="Q41" i="51" l="1"/>
  <c r="O42" i="51"/>
  <c r="X48" i="51"/>
  <c r="L49" i="51"/>
  <c r="C42" i="51"/>
  <c r="T41" i="51"/>
  <c r="V42" i="51"/>
  <c r="G43" i="51"/>
  <c r="I43" i="51"/>
  <c r="W42" i="51"/>
  <c r="AJ4" i="31"/>
  <c r="U41" i="51"/>
  <c r="E42" i="51"/>
  <c r="N55" i="67"/>
  <c r="N104" i="67"/>
  <c r="N57" i="67"/>
  <c r="N222" i="67"/>
  <c r="N209" i="67" s="1"/>
  <c r="N275" i="67"/>
  <c r="L191" i="67"/>
  <c r="L192" i="67" s="1"/>
  <c r="L203" i="67"/>
  <c r="N45" i="45"/>
  <c r="N49" i="45" s="1"/>
  <c r="N92" i="45" s="1"/>
  <c r="N239" i="45"/>
  <c r="N227" i="45" s="1"/>
  <c r="N90" i="45"/>
  <c r="N47" i="45"/>
  <c r="M279" i="67"/>
  <c r="M105" i="67"/>
  <c r="M214" i="67"/>
  <c r="K425" i="67"/>
  <c r="K413" i="67"/>
  <c r="K414" i="67" s="1"/>
  <c r="P36" i="46"/>
  <c r="P38" i="46" s="1"/>
  <c r="P39" i="46" s="1"/>
  <c r="P66" i="46" s="1"/>
  <c r="Q101" i="58"/>
  <c r="R96" i="58"/>
  <c r="L281" i="67"/>
  <c r="L328" i="67" s="1"/>
  <c r="L106" i="67"/>
  <c r="L436" i="67"/>
  <c r="L327" i="67"/>
  <c r="Q47" i="47"/>
  <c r="Q48" i="47" s="1"/>
  <c r="P50" i="47"/>
  <c r="M277" i="67"/>
  <c r="M59" i="67"/>
  <c r="U223" i="45"/>
  <c r="U210" i="45"/>
  <c r="U212" i="45" s="1"/>
  <c r="M231" i="45"/>
  <c r="M91" i="45"/>
  <c r="L204" i="45"/>
  <c r="L206" i="45" s="1"/>
  <c r="L221" i="45"/>
  <c r="M444" i="67"/>
  <c r="M431" i="67" s="1"/>
  <c r="M326" i="67"/>
  <c r="U195" i="67"/>
  <c r="U196" i="67" s="1"/>
  <c r="U205" i="67"/>
  <c r="U63" i="67"/>
  <c r="U285" i="67" s="1"/>
  <c r="O53" i="67"/>
  <c r="O43" i="45"/>
  <c r="P15" i="46"/>
  <c r="Q4" i="46"/>
  <c r="Q13" i="46" s="1"/>
  <c r="U108" i="67"/>
  <c r="U94" i="45"/>
  <c r="U32" i="26"/>
  <c r="T401" i="67"/>
  <c r="T299" i="67"/>
  <c r="T380" i="67"/>
  <c r="T312" i="67"/>
  <c r="T319" i="67"/>
  <c r="T423" i="67"/>
  <c r="T434" i="67"/>
  <c r="T333" i="67"/>
  <c r="T361" i="67"/>
  <c r="T351" i="67"/>
  <c r="U26" i="26"/>
  <c r="U34" i="26"/>
  <c r="U1" i="26"/>
  <c r="U79" i="28"/>
  <c r="U219" i="45"/>
  <c r="U115" i="45"/>
  <c r="U63" i="45"/>
  <c r="U181" i="45"/>
  <c r="U97" i="45"/>
  <c r="U124" i="45"/>
  <c r="U140" i="45"/>
  <c r="U199" i="45"/>
  <c r="U173" i="45"/>
  <c r="U158" i="45"/>
  <c r="U3" i="68" s="1"/>
  <c r="U15" i="68" s="1"/>
  <c r="U83" i="45"/>
  <c r="U76" i="45"/>
  <c r="U189" i="45"/>
  <c r="U229" i="45"/>
  <c r="U70" i="28"/>
  <c r="U37" i="28"/>
  <c r="Q270" i="51"/>
  <c r="R270" i="51" s="1"/>
  <c r="S270" i="51" s="1"/>
  <c r="T270" i="51" s="1"/>
  <c r="U270" i="51" s="1"/>
  <c r="V270" i="51" s="1"/>
  <c r="W270" i="51" s="1"/>
  <c r="X270" i="51" s="1"/>
  <c r="P270" i="51"/>
  <c r="U158" i="67"/>
  <c r="U97" i="67"/>
  <c r="U129" i="67"/>
  <c r="U111" i="67"/>
  <c r="U225" i="67"/>
  <c r="U77" i="67"/>
  <c r="U179" i="67"/>
  <c r="U90" i="67"/>
  <c r="U212" i="67"/>
  <c r="U201" i="67"/>
  <c r="U139" i="67"/>
  <c r="U9" i="51"/>
  <c r="U2" i="51" s="1"/>
  <c r="H284" i="51"/>
  <c r="I284" i="51" s="1"/>
  <c r="K284" i="51" s="1"/>
  <c r="L284" i="51" s="1"/>
  <c r="M284" i="51" s="1"/>
  <c r="N284" i="51" s="1"/>
  <c r="O284" i="51" s="1"/>
  <c r="AK4" i="31" l="1"/>
  <c r="AK19" i="31" s="1"/>
  <c r="P24" i="31" s="1"/>
  <c r="AJ19" i="31"/>
  <c r="N41" i="51"/>
  <c r="O43" i="51"/>
  <c r="Q42" i="51"/>
  <c r="U42" i="51"/>
  <c r="E43" i="51"/>
  <c r="W43" i="51"/>
  <c r="I44" i="51"/>
  <c r="C43" i="51"/>
  <c r="T42" i="51"/>
  <c r="G44" i="51"/>
  <c r="V43" i="51"/>
  <c r="L50" i="51"/>
  <c r="X49" i="51"/>
  <c r="O45" i="45"/>
  <c r="O49" i="45" s="1"/>
  <c r="O92" i="45" s="1"/>
  <c r="O47" i="45"/>
  <c r="O90" i="45"/>
  <c r="O239" i="45"/>
  <c r="O227" i="45" s="1"/>
  <c r="Q50" i="47"/>
  <c r="R47" i="47"/>
  <c r="R48" i="47" s="1"/>
  <c r="M327" i="67"/>
  <c r="M436" i="67"/>
  <c r="O55" i="67"/>
  <c r="O222" i="67"/>
  <c r="O209" i="67" s="1"/>
  <c r="O275" i="67"/>
  <c r="O104" i="67"/>
  <c r="O57" i="67"/>
  <c r="M106" i="67"/>
  <c r="M281" i="67"/>
  <c r="M328" i="67" s="1"/>
  <c r="R101" i="58"/>
  <c r="S96" i="58"/>
  <c r="Q36" i="46"/>
  <c r="Q38" i="46" s="1"/>
  <c r="Q39" i="46" s="1"/>
  <c r="Q66" i="46" s="1"/>
  <c r="N91" i="45"/>
  <c r="N231" i="45"/>
  <c r="N105" i="67"/>
  <c r="N214" i="67"/>
  <c r="N279" i="67"/>
  <c r="Q15" i="46"/>
  <c r="R4" i="46"/>
  <c r="R13" i="46" s="1"/>
  <c r="M221" i="45"/>
  <c r="M204" i="45"/>
  <c r="M206" i="45" s="1"/>
  <c r="L413" i="67"/>
  <c r="L414" i="67" s="1"/>
  <c r="L425" i="67"/>
  <c r="P53" i="67"/>
  <c r="P43" i="45"/>
  <c r="M191" i="67"/>
  <c r="M192" i="67" s="1"/>
  <c r="M203" i="67"/>
  <c r="N326" i="67"/>
  <c r="N444" i="67"/>
  <c r="N431" i="67" s="1"/>
  <c r="N277" i="67"/>
  <c r="N59" i="67"/>
  <c r="Q284" i="51"/>
  <c r="R284" i="51" s="1"/>
  <c r="S284" i="51" s="1"/>
  <c r="T284" i="51" s="1"/>
  <c r="U284" i="51" s="1"/>
  <c r="V284" i="51" s="1"/>
  <c r="W284" i="51" s="1"/>
  <c r="X284" i="51" s="1"/>
  <c r="P284" i="51"/>
  <c r="U380" i="67"/>
  <c r="U333" i="67"/>
  <c r="U319" i="67"/>
  <c r="U423" i="67"/>
  <c r="U312" i="67"/>
  <c r="U401" i="67"/>
  <c r="U434" i="67"/>
  <c r="U299" i="67"/>
  <c r="U351" i="67"/>
  <c r="U361" i="67"/>
  <c r="C44" i="51" l="1"/>
  <c r="T43" i="51"/>
  <c r="I47" i="51"/>
  <c r="W44" i="51"/>
  <c r="W45" i="51" s="1"/>
  <c r="X50" i="51"/>
  <c r="L51" i="51"/>
  <c r="V44" i="51"/>
  <c r="V45" i="51" s="1"/>
  <c r="G47" i="51"/>
  <c r="O44" i="51"/>
  <c r="Q43" i="51"/>
  <c r="AL4" i="31"/>
  <c r="N42" i="51"/>
  <c r="E44" i="51"/>
  <c r="U43" i="51"/>
  <c r="N204" i="45"/>
  <c r="N206" i="45" s="1"/>
  <c r="N221" i="45"/>
  <c r="Q43" i="45"/>
  <c r="Q53" i="67"/>
  <c r="M413" i="67"/>
  <c r="M414" i="67" s="1"/>
  <c r="M425" i="67"/>
  <c r="P90" i="45"/>
  <c r="P239" i="45"/>
  <c r="P227" i="45" s="1"/>
  <c r="P47" i="45"/>
  <c r="P45" i="45"/>
  <c r="P49" i="45" s="1"/>
  <c r="P92" i="45" s="1"/>
  <c r="N327" i="67"/>
  <c r="N436" i="67"/>
  <c r="O326" i="67"/>
  <c r="O444" i="67"/>
  <c r="O431" i="67" s="1"/>
  <c r="P275" i="67"/>
  <c r="P55" i="67"/>
  <c r="P57" i="67"/>
  <c r="P104" i="67"/>
  <c r="P222" i="67"/>
  <c r="P209" i="67" s="1"/>
  <c r="N191" i="67"/>
  <c r="N192" i="67" s="1"/>
  <c r="N203" i="67"/>
  <c r="S47" i="47"/>
  <c r="S48" i="47" s="1"/>
  <c r="R50" i="47"/>
  <c r="O91" i="45"/>
  <c r="O231" i="45"/>
  <c r="N106" i="67"/>
  <c r="N281" i="67"/>
  <c r="N328" i="67" s="1"/>
  <c r="R15" i="46"/>
  <c r="S4" i="46"/>
  <c r="S13" i="46" s="1"/>
  <c r="R36" i="46"/>
  <c r="R38" i="46" s="1"/>
  <c r="R39" i="46" s="1"/>
  <c r="R66" i="46" s="1"/>
  <c r="T96" i="58"/>
  <c r="S101" i="58"/>
  <c r="O279" i="67"/>
  <c r="O214" i="67"/>
  <c r="O105" i="67"/>
  <c r="O277" i="67"/>
  <c r="O59" i="67"/>
  <c r="X51" i="51" l="1"/>
  <c r="L52" i="51"/>
  <c r="N43" i="51"/>
  <c r="AL19" i="31"/>
  <c r="AM4" i="31"/>
  <c r="AM19" i="31" s="1"/>
  <c r="Q24" i="31" s="1"/>
  <c r="W47" i="51"/>
  <c r="I48" i="51"/>
  <c r="U44" i="51"/>
  <c r="U45" i="51" s="1"/>
  <c r="E47" i="51"/>
  <c r="Q44" i="51"/>
  <c r="Q45" i="51" s="1"/>
  <c r="C4" i="51" s="1"/>
  <c r="O47" i="51"/>
  <c r="T44" i="51"/>
  <c r="C47" i="51"/>
  <c r="V47" i="51"/>
  <c r="G48" i="51"/>
  <c r="P277" i="67"/>
  <c r="P59" i="67"/>
  <c r="N425" i="67"/>
  <c r="N413" i="67"/>
  <c r="N414" i="67" s="1"/>
  <c r="Q55" i="67"/>
  <c r="Q57" i="67"/>
  <c r="Q275" i="67"/>
  <c r="Q104" i="67"/>
  <c r="Q222" i="67"/>
  <c r="Q209" i="67" s="1"/>
  <c r="R53" i="67"/>
  <c r="R43" i="45"/>
  <c r="T101" i="58"/>
  <c r="S36" i="46"/>
  <c r="S38" i="46" s="1"/>
  <c r="S39" i="46" s="1"/>
  <c r="S66" i="46" s="1"/>
  <c r="U96" i="58"/>
  <c r="P326" i="67"/>
  <c r="P444" i="67"/>
  <c r="P431" i="67" s="1"/>
  <c r="Q239" i="45"/>
  <c r="Q227" i="45" s="1"/>
  <c r="Q47" i="45"/>
  <c r="Q90" i="45"/>
  <c r="Q45" i="45"/>
  <c r="Q49" i="45" s="1"/>
  <c r="Q92" i="45" s="1"/>
  <c r="O203" i="67"/>
  <c r="O191" i="67"/>
  <c r="O192" i="67" s="1"/>
  <c r="S50" i="47"/>
  <c r="T47" i="47"/>
  <c r="T48" i="47" s="1"/>
  <c r="O106" i="67"/>
  <c r="O281" i="67"/>
  <c r="O328" i="67" s="1"/>
  <c r="O327" i="67"/>
  <c r="O436" i="67"/>
  <c r="S15" i="46"/>
  <c r="T4" i="46"/>
  <c r="T13" i="46" s="1"/>
  <c r="O221" i="45"/>
  <c r="O204" i="45"/>
  <c r="O206" i="45" s="1"/>
  <c r="P105" i="67"/>
  <c r="P214" i="67"/>
  <c r="P279" i="67"/>
  <c r="P91" i="45"/>
  <c r="P231" i="45"/>
  <c r="G49" i="51" l="1"/>
  <c r="V48" i="51"/>
  <c r="O48" i="51"/>
  <c r="Q47" i="51"/>
  <c r="W48" i="51"/>
  <c r="I49" i="51"/>
  <c r="C6" i="51"/>
  <c r="C48" i="51"/>
  <c r="T47" i="51"/>
  <c r="E48" i="51"/>
  <c r="U47" i="51"/>
  <c r="AN4" i="31"/>
  <c r="X52" i="51"/>
  <c r="L53" i="51"/>
  <c r="N44" i="51"/>
  <c r="N45" i="51" s="1"/>
  <c r="S45" i="51" s="1"/>
  <c r="T45" i="51"/>
  <c r="S43" i="45"/>
  <c r="S53" i="67"/>
  <c r="O413" i="67"/>
  <c r="O414" i="67" s="1"/>
  <c r="O425" i="67"/>
  <c r="T50" i="47"/>
  <c r="U47" i="47"/>
  <c r="U48" i="47" s="1"/>
  <c r="U50" i="47" s="1"/>
  <c r="P327" i="67"/>
  <c r="P436" i="67"/>
  <c r="R239" i="45"/>
  <c r="R227" i="45" s="1"/>
  <c r="R45" i="45"/>
  <c r="R49" i="45" s="1"/>
  <c r="R92" i="45" s="1"/>
  <c r="R47" i="45"/>
  <c r="R90" i="45"/>
  <c r="Q326" i="67"/>
  <c r="Q444" i="67"/>
  <c r="Q431" i="67" s="1"/>
  <c r="P203" i="67"/>
  <c r="P191" i="67"/>
  <c r="P192" i="67" s="1"/>
  <c r="U4" i="46"/>
  <c r="U13" i="46" s="1"/>
  <c r="U15" i="46" s="1"/>
  <c r="T15" i="46"/>
  <c r="Q91" i="45"/>
  <c r="Q231" i="45"/>
  <c r="U101" i="58"/>
  <c r="T36" i="46"/>
  <c r="T38" i="46" s="1"/>
  <c r="T39" i="46" s="1"/>
  <c r="T66" i="46" s="1"/>
  <c r="V96" i="58"/>
  <c r="R55" i="67"/>
  <c r="R57" i="67"/>
  <c r="R222" i="67"/>
  <c r="R209" i="67" s="1"/>
  <c r="R275" i="67"/>
  <c r="R104" i="67"/>
  <c r="Q279" i="67"/>
  <c r="Q214" i="67"/>
  <c r="Q105" i="67"/>
  <c r="P281" i="67"/>
  <c r="P328" i="67" s="1"/>
  <c r="P106" i="67"/>
  <c r="P221" i="45"/>
  <c r="P204" i="45"/>
  <c r="P206" i="45" s="1"/>
  <c r="Q277" i="67"/>
  <c r="Q59" i="67"/>
  <c r="N47" i="51" l="1"/>
  <c r="AO4" i="31"/>
  <c r="AO19" i="31" s="1"/>
  <c r="R24" i="31" s="1"/>
  <c r="AN19" i="31"/>
  <c r="C49" i="51"/>
  <c r="T48" i="51"/>
  <c r="N48" i="51" s="1"/>
  <c r="O49" i="51"/>
  <c r="Q48" i="51"/>
  <c r="W49" i="51"/>
  <c r="I50" i="51"/>
  <c r="X53" i="51"/>
  <c r="L54" i="51"/>
  <c r="U48" i="51"/>
  <c r="E49" i="51"/>
  <c r="G50" i="51"/>
  <c r="V49" i="51"/>
  <c r="Q106" i="67"/>
  <c r="Q281" i="67"/>
  <c r="Q328" i="67" s="1"/>
  <c r="Q327" i="67"/>
  <c r="Q436" i="67"/>
  <c r="R277" i="67"/>
  <c r="R59" i="67"/>
  <c r="Q221" i="45"/>
  <c r="Q204" i="45"/>
  <c r="Q206" i="45" s="1"/>
  <c r="P425" i="67"/>
  <c r="P413" i="67"/>
  <c r="P414" i="67" s="1"/>
  <c r="Q203" i="67"/>
  <c r="Q191" i="67"/>
  <c r="Q192" i="67" s="1"/>
  <c r="R214" i="67"/>
  <c r="R279" i="67"/>
  <c r="R105" i="67"/>
  <c r="R444" i="67"/>
  <c r="R431" i="67" s="1"/>
  <c r="R326" i="67"/>
  <c r="V101" i="58"/>
  <c r="U36" i="46"/>
  <c r="U38" i="46" s="1"/>
  <c r="U39" i="46" s="1"/>
  <c r="U66" i="46" s="1"/>
  <c r="R91" i="45"/>
  <c r="R231" i="45"/>
  <c r="S222" i="67"/>
  <c r="S209" i="67" s="1"/>
  <c r="S275" i="67"/>
  <c r="S57" i="67"/>
  <c r="S104" i="67"/>
  <c r="S55" i="67"/>
  <c r="T53" i="67"/>
  <c r="T43" i="45"/>
  <c r="S45" i="45"/>
  <c r="S49" i="45" s="1"/>
  <c r="S92" i="45" s="1"/>
  <c r="S47" i="45"/>
  <c r="S239" i="45"/>
  <c r="S227" i="45" s="1"/>
  <c r="S90" i="45"/>
  <c r="X54" i="51" l="1"/>
  <c r="L55" i="51"/>
  <c r="V50" i="51"/>
  <c r="G51" i="51"/>
  <c r="C50" i="51"/>
  <c r="T49" i="51"/>
  <c r="N49" i="51" s="1"/>
  <c r="U49" i="51"/>
  <c r="E50" i="51"/>
  <c r="I51" i="51"/>
  <c r="W50" i="51"/>
  <c r="AP4" i="31"/>
  <c r="Q49" i="51"/>
  <c r="O50" i="51"/>
  <c r="S214" i="67"/>
  <c r="S105" i="67"/>
  <c r="S279" i="67"/>
  <c r="Q413" i="67"/>
  <c r="Q414" i="67" s="1"/>
  <c r="Q425" i="67"/>
  <c r="T55" i="67"/>
  <c r="T57" i="67"/>
  <c r="T104" i="67"/>
  <c r="T275" i="67"/>
  <c r="T222" i="67"/>
  <c r="T209" i="67" s="1"/>
  <c r="S444" i="67"/>
  <c r="S431" i="67" s="1"/>
  <c r="S326" i="67"/>
  <c r="S277" i="67"/>
  <c r="S59" i="67"/>
  <c r="U43" i="45"/>
  <c r="U53" i="67"/>
  <c r="R436" i="67"/>
  <c r="R327" i="67"/>
  <c r="R281" i="67"/>
  <c r="R328" i="67" s="1"/>
  <c r="R106" i="67"/>
  <c r="T90" i="45"/>
  <c r="T239" i="45"/>
  <c r="T227" i="45" s="1"/>
  <c r="T45" i="45"/>
  <c r="T49" i="45" s="1"/>
  <c r="T92" i="45" s="1"/>
  <c r="T47" i="45"/>
  <c r="S231" i="45"/>
  <c r="S91" i="45"/>
  <c r="R204" i="45"/>
  <c r="R206" i="45" s="1"/>
  <c r="R221" i="45"/>
  <c r="R191" i="67"/>
  <c r="R192" i="67" s="1"/>
  <c r="R203" i="67"/>
  <c r="W51" i="51" l="1"/>
  <c r="I52" i="51"/>
  <c r="L56" i="51"/>
  <c r="X55" i="51"/>
  <c r="U50" i="51"/>
  <c r="E51" i="51"/>
  <c r="T50" i="51"/>
  <c r="C51" i="51"/>
  <c r="O51" i="51"/>
  <c r="Q50" i="51"/>
  <c r="AQ4" i="31"/>
  <c r="AQ19" i="31" s="1"/>
  <c r="S24" i="31" s="1"/>
  <c r="AR4" i="31"/>
  <c r="AP19" i="31"/>
  <c r="V51" i="51"/>
  <c r="G52" i="51"/>
  <c r="T231" i="45"/>
  <c r="T91" i="45"/>
  <c r="U104" i="67"/>
  <c r="U55" i="67"/>
  <c r="U222" i="67"/>
  <c r="U209" i="67" s="1"/>
  <c r="U275" i="67"/>
  <c r="U57" i="67"/>
  <c r="U239" i="45"/>
  <c r="U227" i="45" s="1"/>
  <c r="U47" i="45"/>
  <c r="U90" i="45"/>
  <c r="U45" i="45"/>
  <c r="U49" i="45" s="1"/>
  <c r="U92" i="45" s="1"/>
  <c r="T214" i="67"/>
  <c r="T279" i="67"/>
  <c r="T105" i="67"/>
  <c r="S436" i="67"/>
  <c r="S327" i="67"/>
  <c r="S281" i="67"/>
  <c r="S328" i="67" s="1"/>
  <c r="S106" i="67"/>
  <c r="T277" i="67"/>
  <c r="T59" i="67"/>
  <c r="S221" i="45"/>
  <c r="S204" i="45"/>
  <c r="S206" i="45" s="1"/>
  <c r="R425" i="67"/>
  <c r="R413" i="67"/>
  <c r="R414" i="67" s="1"/>
  <c r="T444" i="67"/>
  <c r="T431" i="67" s="1"/>
  <c r="T326" i="67"/>
  <c r="S191" i="67"/>
  <c r="S192" i="67" s="1"/>
  <c r="S203" i="67"/>
  <c r="G53" i="51" l="1"/>
  <c r="V52" i="51"/>
  <c r="AR19" i="31"/>
  <c r="AS4" i="31"/>
  <c r="AS19" i="31" s="1"/>
  <c r="T24" i="31" s="1"/>
  <c r="T51" i="51"/>
  <c r="C52" i="51"/>
  <c r="W52" i="51"/>
  <c r="I53" i="51"/>
  <c r="N50" i="51"/>
  <c r="Q51" i="51"/>
  <c r="O52" i="51"/>
  <c r="E52" i="51"/>
  <c r="U51" i="51"/>
  <c r="L57" i="51"/>
  <c r="X56" i="51"/>
  <c r="T281" i="67"/>
  <c r="T328" i="67" s="1"/>
  <c r="T106" i="67"/>
  <c r="T203" i="67"/>
  <c r="T191" i="67"/>
  <c r="T192" i="67" s="1"/>
  <c r="U277" i="67"/>
  <c r="U59" i="67"/>
  <c r="U105" i="67"/>
  <c r="U279" i="67"/>
  <c r="U214" i="67"/>
  <c r="S413" i="67"/>
  <c r="S414" i="67" s="1"/>
  <c r="S425" i="67"/>
  <c r="U444" i="67"/>
  <c r="U431" i="67" s="1"/>
  <c r="U326" i="67"/>
  <c r="T436" i="67"/>
  <c r="T327" i="67"/>
  <c r="U231" i="45"/>
  <c r="U91" i="45"/>
  <c r="T204" i="45"/>
  <c r="T206" i="45" s="1"/>
  <c r="T221" i="45"/>
  <c r="C53" i="51" l="1"/>
  <c r="T52" i="51"/>
  <c r="E53" i="51"/>
  <c r="U52" i="51"/>
  <c r="N51" i="51"/>
  <c r="Q52" i="51"/>
  <c r="O53" i="51"/>
  <c r="I54" i="51"/>
  <c r="W53" i="51"/>
  <c r="AT4" i="31"/>
  <c r="V53" i="51"/>
  <c r="G54" i="51"/>
  <c r="L58" i="51"/>
  <c r="X57" i="51"/>
  <c r="U221" i="45"/>
  <c r="U204" i="45"/>
  <c r="U206" i="45" s="1"/>
  <c r="U436" i="67"/>
  <c r="U327" i="67"/>
  <c r="T413" i="67"/>
  <c r="T414" i="67" s="1"/>
  <c r="T425" i="67"/>
  <c r="U281" i="67"/>
  <c r="U328" i="67" s="1"/>
  <c r="U106" i="67"/>
  <c r="U191" i="67"/>
  <c r="U192" i="67" s="1"/>
  <c r="U203" i="67"/>
  <c r="L61" i="51" l="1"/>
  <c r="X58" i="51"/>
  <c r="X59" i="51" s="1"/>
  <c r="U53" i="51"/>
  <c r="E54" i="51"/>
  <c r="AT19" i="31"/>
  <c r="AU4" i="31"/>
  <c r="AU19" i="31" s="1"/>
  <c r="U24" i="31" s="1"/>
  <c r="G55" i="51"/>
  <c r="V54" i="51"/>
  <c r="W54" i="51"/>
  <c r="I55" i="51"/>
  <c r="N52" i="51"/>
  <c r="O54" i="51"/>
  <c r="Q53" i="51"/>
  <c r="T53" i="51"/>
  <c r="C54" i="51"/>
  <c r="U425" i="67"/>
  <c r="U413" i="67"/>
  <c r="U414" i="67" s="1"/>
  <c r="T54" i="51" l="1"/>
  <c r="C55" i="51"/>
  <c r="G56" i="51"/>
  <c r="V55" i="51"/>
  <c r="U54" i="51"/>
  <c r="E55" i="51"/>
  <c r="N53" i="51"/>
  <c r="W55" i="51"/>
  <c r="I56" i="51"/>
  <c r="O55" i="51"/>
  <c r="Q54" i="51"/>
  <c r="AV4" i="31"/>
  <c r="X61" i="51"/>
  <c r="L62" i="51"/>
  <c r="E11" i="51"/>
  <c r="Q55" i="51" l="1"/>
  <c r="O56" i="51"/>
  <c r="G57" i="51"/>
  <c r="V56" i="51"/>
  <c r="X62" i="51"/>
  <c r="L63" i="51"/>
  <c r="AV19" i="31"/>
  <c r="AW4" i="31"/>
  <c r="AW19" i="31" s="1"/>
  <c r="V24" i="31" s="1"/>
  <c r="AX4" i="31"/>
  <c r="AX19" i="31" s="1"/>
  <c r="W56" i="51"/>
  <c r="I57" i="51"/>
  <c r="E56" i="51"/>
  <c r="U55" i="51"/>
  <c r="C56" i="51"/>
  <c r="T55" i="51"/>
  <c r="N55" i="51" s="1"/>
  <c r="N54" i="51"/>
  <c r="I58" i="51" l="1"/>
  <c r="W57" i="51"/>
  <c r="V57" i="51"/>
  <c r="G58" i="51"/>
  <c r="C57" i="51"/>
  <c r="T56" i="51"/>
  <c r="L64" i="51"/>
  <c r="X63" i="51"/>
  <c r="O57" i="51"/>
  <c r="Q56" i="51"/>
  <c r="U56" i="51"/>
  <c r="E57" i="51"/>
  <c r="U57" i="51" l="1"/>
  <c r="E58" i="51"/>
  <c r="X64" i="51"/>
  <c r="L65" i="51"/>
  <c r="N56" i="51"/>
  <c r="G61" i="51"/>
  <c r="V58" i="51"/>
  <c r="V59" i="51" s="1"/>
  <c r="O58" i="51"/>
  <c r="Q57" i="51"/>
  <c r="T57" i="51"/>
  <c r="N57" i="51" s="1"/>
  <c r="C58" i="51"/>
  <c r="W58" i="51"/>
  <c r="W59" i="51" s="1"/>
  <c r="I61" i="51"/>
  <c r="C61" i="51" l="1"/>
  <c r="T58" i="51"/>
  <c r="W61" i="51"/>
  <c r="I62" i="51"/>
  <c r="E61" i="51"/>
  <c r="U58" i="51"/>
  <c r="U59" i="51" s="1"/>
  <c r="V61" i="51"/>
  <c r="G62" i="51"/>
  <c r="O61" i="51"/>
  <c r="Q58" i="51"/>
  <c r="Q59" i="51" s="1"/>
  <c r="D4" i="51" s="1"/>
  <c r="L66" i="51"/>
  <c r="X65" i="51"/>
  <c r="X66" i="51" l="1"/>
  <c r="L67" i="51"/>
  <c r="N58" i="51"/>
  <c r="N59" i="51" s="1"/>
  <c r="S59" i="51" s="1"/>
  <c r="T59" i="51"/>
  <c r="Q61" i="51"/>
  <c r="O62" i="51"/>
  <c r="E62" i="51"/>
  <c r="U61" i="51"/>
  <c r="T61" i="51"/>
  <c r="C62" i="51"/>
  <c r="D6" i="51"/>
  <c r="G63" i="51"/>
  <c r="V62" i="51"/>
  <c r="I63" i="51"/>
  <c r="W62" i="51"/>
  <c r="G64" i="51" l="1"/>
  <c r="V63" i="51"/>
  <c r="C63" i="51"/>
  <c r="T62" i="51"/>
  <c r="O63" i="51"/>
  <c r="Q62" i="51"/>
  <c r="E63" i="51"/>
  <c r="U62" i="51"/>
  <c r="N61" i="51"/>
  <c r="X67" i="51"/>
  <c r="L68" i="51"/>
  <c r="I64" i="51"/>
  <c r="W63" i="51"/>
  <c r="O64" i="51" l="1"/>
  <c r="Q63" i="51"/>
  <c r="V64" i="51"/>
  <c r="G65" i="51"/>
  <c r="L69" i="51"/>
  <c r="X68" i="51"/>
  <c r="N62" i="51"/>
  <c r="I65" i="51"/>
  <c r="W64" i="51"/>
  <c r="U63" i="51"/>
  <c r="E64" i="51"/>
  <c r="T63" i="51"/>
  <c r="C64" i="51"/>
  <c r="N63" i="51" l="1"/>
  <c r="U64" i="51"/>
  <c r="E65" i="51"/>
  <c r="G66" i="51"/>
  <c r="V65" i="51"/>
  <c r="W65" i="51"/>
  <c r="I66" i="51"/>
  <c r="O65" i="51"/>
  <c r="Q64" i="51"/>
  <c r="T64" i="51"/>
  <c r="C65" i="51"/>
  <c r="X69" i="51"/>
  <c r="L70" i="51"/>
  <c r="X70" i="51" l="1"/>
  <c r="L71" i="51"/>
  <c r="O66" i="51"/>
  <c r="Q65" i="51"/>
  <c r="C66" i="51"/>
  <c r="T65" i="51"/>
  <c r="W66" i="51"/>
  <c r="I67" i="51"/>
  <c r="G67" i="51"/>
  <c r="V66" i="51"/>
  <c r="N64" i="51"/>
  <c r="E66" i="51"/>
  <c r="U65" i="51"/>
  <c r="L72" i="51" l="1"/>
  <c r="X71" i="51"/>
  <c r="T66" i="51"/>
  <c r="N66" i="51" s="1"/>
  <c r="C67" i="51"/>
  <c r="N65" i="51"/>
  <c r="G68" i="51"/>
  <c r="V67" i="51"/>
  <c r="U66" i="51"/>
  <c r="E67" i="51"/>
  <c r="I68" i="51"/>
  <c r="W67" i="51"/>
  <c r="O67" i="51"/>
  <c r="Q66" i="51"/>
  <c r="G69" i="51" l="1"/>
  <c r="V68" i="51"/>
  <c r="E68" i="51"/>
  <c r="U67" i="51"/>
  <c r="X72" i="51"/>
  <c r="X73" i="51" s="1"/>
  <c r="L75" i="51"/>
  <c r="I69" i="51"/>
  <c r="W68" i="51"/>
  <c r="O68" i="51"/>
  <c r="Q67" i="51"/>
  <c r="T67" i="51"/>
  <c r="C68" i="51"/>
  <c r="C69" i="51" l="1"/>
  <c r="T68" i="51"/>
  <c r="U68" i="51"/>
  <c r="E69" i="51"/>
  <c r="I70" i="51"/>
  <c r="W69" i="51"/>
  <c r="F11" i="51"/>
  <c r="X75" i="51"/>
  <c r="L76" i="51"/>
  <c r="N67" i="51"/>
  <c r="O69" i="51"/>
  <c r="Q68" i="51"/>
  <c r="V69" i="51"/>
  <c r="G70" i="51"/>
  <c r="O70" i="51" l="1"/>
  <c r="Q69" i="51"/>
  <c r="V70" i="51"/>
  <c r="G71" i="51"/>
  <c r="N68" i="51"/>
  <c r="E70" i="51"/>
  <c r="U69" i="51"/>
  <c r="X76" i="51"/>
  <c r="L77" i="51"/>
  <c r="W70" i="51"/>
  <c r="I71" i="51"/>
  <c r="T69" i="51"/>
  <c r="C70" i="51"/>
  <c r="I72" i="51" l="1"/>
  <c r="W71" i="51"/>
  <c r="L78" i="51"/>
  <c r="X77" i="51"/>
  <c r="U70" i="51"/>
  <c r="E71" i="51"/>
  <c r="T70" i="51"/>
  <c r="N70" i="51" s="1"/>
  <c r="C71" i="51"/>
  <c r="O71" i="51"/>
  <c r="Q70" i="51"/>
  <c r="N69" i="51"/>
  <c r="G72" i="51"/>
  <c r="V71" i="51"/>
  <c r="X78" i="51" l="1"/>
  <c r="L79" i="51"/>
  <c r="E72" i="51"/>
  <c r="U71" i="51"/>
  <c r="Q71" i="51"/>
  <c r="O72" i="51"/>
  <c r="I75" i="51"/>
  <c r="W72" i="51"/>
  <c r="W73" i="51" s="1"/>
  <c r="V72" i="51"/>
  <c r="V73" i="51" s="1"/>
  <c r="G75" i="51"/>
  <c r="T71" i="51"/>
  <c r="N71" i="51" s="1"/>
  <c r="C72" i="51"/>
  <c r="I76" i="51" l="1"/>
  <c r="W75" i="51"/>
  <c r="G76" i="51"/>
  <c r="V75" i="51"/>
  <c r="O75" i="51"/>
  <c r="Q72" i="51"/>
  <c r="Q73" i="51" s="1"/>
  <c r="E4" i="51" s="1"/>
  <c r="L80" i="51"/>
  <c r="X79" i="51"/>
  <c r="U72" i="51"/>
  <c r="U73" i="51" s="1"/>
  <c r="E75" i="51"/>
  <c r="C75" i="51"/>
  <c r="T72" i="51"/>
  <c r="N72" i="51" l="1"/>
  <c r="N73" i="51" s="1"/>
  <c r="T73" i="51"/>
  <c r="X80" i="51"/>
  <c r="L81" i="51"/>
  <c r="G77" i="51"/>
  <c r="V76" i="51"/>
  <c r="T75" i="51"/>
  <c r="C76" i="51"/>
  <c r="U75" i="51"/>
  <c r="E76" i="51"/>
  <c r="O76" i="51"/>
  <c r="Q75" i="51"/>
  <c r="W76" i="51"/>
  <c r="I77" i="51"/>
  <c r="S73" i="51" l="1"/>
  <c r="E3" i="51"/>
  <c r="X81" i="51"/>
  <c r="L82" i="51"/>
  <c r="N75" i="51"/>
  <c r="C77" i="51"/>
  <c r="T76" i="51"/>
  <c r="N76" i="51" s="1"/>
  <c r="O77" i="51"/>
  <c r="Q76" i="51"/>
  <c r="I78" i="51"/>
  <c r="W77" i="51"/>
  <c r="E77" i="51"/>
  <c r="U76" i="51"/>
  <c r="G78" i="51"/>
  <c r="V77" i="51"/>
  <c r="E3" i="26" l="1"/>
  <c r="E6" i="51"/>
  <c r="U77" i="51"/>
  <c r="E78" i="51"/>
  <c r="L83" i="51"/>
  <c r="X82" i="51"/>
  <c r="I79" i="51"/>
  <c r="W78" i="51"/>
  <c r="C78" i="51"/>
  <c r="T77" i="51"/>
  <c r="N77" i="51" s="1"/>
  <c r="V78" i="51"/>
  <c r="G79" i="51"/>
  <c r="O78" i="51"/>
  <c r="Q77" i="51"/>
  <c r="V79" i="51" l="1"/>
  <c r="G80" i="51"/>
  <c r="L84" i="51"/>
  <c r="X83" i="51"/>
  <c r="I80" i="51"/>
  <c r="W79" i="51"/>
  <c r="E79" i="51"/>
  <c r="U78" i="51"/>
  <c r="Q78" i="51"/>
  <c r="O79" i="51"/>
  <c r="T78" i="51"/>
  <c r="C79" i="51"/>
  <c r="X84" i="51" l="1"/>
  <c r="L85" i="51"/>
  <c r="G81" i="51"/>
  <c r="V80" i="51"/>
  <c r="U79" i="51"/>
  <c r="E80" i="51"/>
  <c r="N78" i="51"/>
  <c r="I81" i="51"/>
  <c r="W80" i="51"/>
  <c r="C80" i="51"/>
  <c r="T79" i="51"/>
  <c r="N79" i="51" s="1"/>
  <c r="Q79" i="51"/>
  <c r="O80" i="51"/>
  <c r="U80" i="51" l="1"/>
  <c r="E81" i="51"/>
  <c r="L86" i="51"/>
  <c r="X85" i="51"/>
  <c r="G82" i="51"/>
  <c r="V81" i="51"/>
  <c r="I82" i="51"/>
  <c r="W81" i="51"/>
  <c r="Q80" i="51"/>
  <c r="O81" i="51"/>
  <c r="T80" i="51"/>
  <c r="N80" i="51" s="1"/>
  <c r="C81" i="51"/>
  <c r="Q81" i="51" l="1"/>
  <c r="O82" i="51"/>
  <c r="X86" i="51"/>
  <c r="X87" i="51" s="1"/>
  <c r="L89" i="51"/>
  <c r="I83" i="51"/>
  <c r="W82" i="51"/>
  <c r="T81" i="51"/>
  <c r="C82" i="51"/>
  <c r="G83" i="51"/>
  <c r="V82" i="51"/>
  <c r="U81" i="51"/>
  <c r="E82" i="51"/>
  <c r="C83" i="51" l="1"/>
  <c r="T82" i="51"/>
  <c r="O83" i="51"/>
  <c r="Q82" i="51"/>
  <c r="U82" i="51"/>
  <c r="E83" i="51"/>
  <c r="X89" i="51"/>
  <c r="L90" i="51"/>
  <c r="G11" i="51"/>
  <c r="N81" i="51"/>
  <c r="G84" i="51"/>
  <c r="V83" i="51"/>
  <c r="I84" i="51"/>
  <c r="W83" i="51"/>
  <c r="G85" i="51" l="1"/>
  <c r="V84" i="51"/>
  <c r="Q83" i="51"/>
  <c r="O84" i="51"/>
  <c r="X90" i="51"/>
  <c r="L91" i="51"/>
  <c r="W84" i="51"/>
  <c r="I85" i="51"/>
  <c r="E84" i="51"/>
  <c r="U83" i="51"/>
  <c r="N82" i="51"/>
  <c r="C84" i="51"/>
  <c r="T83" i="51"/>
  <c r="L92" i="51" l="1"/>
  <c r="X91" i="51"/>
  <c r="N83" i="51"/>
  <c r="E85" i="51"/>
  <c r="U84" i="51"/>
  <c r="C85" i="51"/>
  <c r="T84" i="51"/>
  <c r="N84" i="51" s="1"/>
  <c r="I86" i="51"/>
  <c r="W85" i="51"/>
  <c r="Q84" i="51"/>
  <c r="O85" i="51"/>
  <c r="G86" i="51"/>
  <c r="V85" i="51"/>
  <c r="T85" i="51" l="1"/>
  <c r="C86" i="51"/>
  <c r="X92" i="51"/>
  <c r="L93" i="51"/>
  <c r="O86" i="51"/>
  <c r="Q85" i="51"/>
  <c r="V86" i="51"/>
  <c r="V87" i="51" s="1"/>
  <c r="G89" i="51"/>
  <c r="I89" i="51"/>
  <c r="W86" i="51"/>
  <c r="W87" i="51" s="1"/>
  <c r="U85" i="51"/>
  <c r="E86" i="51"/>
  <c r="C89" i="51" l="1"/>
  <c r="T86" i="51"/>
  <c r="W89" i="51"/>
  <c r="I90" i="51"/>
  <c r="O89" i="51"/>
  <c r="Q86" i="51"/>
  <c r="Q87" i="51" s="1"/>
  <c r="F4" i="51" s="1"/>
  <c r="N85" i="51"/>
  <c r="U86" i="51"/>
  <c r="U87" i="51" s="1"/>
  <c r="E89" i="51"/>
  <c r="V89" i="51"/>
  <c r="G90" i="51"/>
  <c r="X93" i="51"/>
  <c r="L94" i="51"/>
  <c r="N86" i="51" l="1"/>
  <c r="N87" i="51" s="1"/>
  <c r="T87" i="51"/>
  <c r="W90" i="51"/>
  <c r="I91" i="51"/>
  <c r="G91" i="51"/>
  <c r="V90" i="51"/>
  <c r="L95" i="51"/>
  <c r="X94" i="51"/>
  <c r="E90" i="51"/>
  <c r="U89" i="51"/>
  <c r="O90" i="51"/>
  <c r="Q89" i="51"/>
  <c r="T89" i="51"/>
  <c r="C90" i="51"/>
  <c r="S87" i="51" l="1"/>
  <c r="F3" i="51"/>
  <c r="X95" i="51"/>
  <c r="L96" i="51"/>
  <c r="G92" i="51"/>
  <c r="V91" i="51"/>
  <c r="T90" i="51"/>
  <c r="C91" i="51"/>
  <c r="Q90" i="51"/>
  <c r="O91" i="51"/>
  <c r="W91" i="51"/>
  <c r="I92" i="51"/>
  <c r="N89" i="51"/>
  <c r="U90" i="51"/>
  <c r="E91" i="51"/>
  <c r="F3" i="26" l="1"/>
  <c r="F6" i="51"/>
  <c r="W92" i="51"/>
  <c r="I93" i="51"/>
  <c r="N90" i="51"/>
  <c r="L97" i="51"/>
  <c r="X96" i="51"/>
  <c r="T91" i="51"/>
  <c r="C92" i="51"/>
  <c r="Q91" i="51"/>
  <c r="O92" i="51"/>
  <c r="U91" i="51"/>
  <c r="E92" i="51"/>
  <c r="V92" i="51"/>
  <c r="G93" i="51"/>
  <c r="N91" i="51" l="1"/>
  <c r="E93" i="51"/>
  <c r="U92" i="51"/>
  <c r="X97" i="51"/>
  <c r="L98" i="51"/>
  <c r="I94" i="51"/>
  <c r="W93" i="51"/>
  <c r="G94" i="51"/>
  <c r="V93" i="51"/>
  <c r="Q92" i="51"/>
  <c r="O93" i="51"/>
  <c r="T92" i="51"/>
  <c r="N92" i="51" s="1"/>
  <c r="C93" i="51"/>
  <c r="V94" i="51" l="1"/>
  <c r="G95" i="51"/>
  <c r="O94" i="51"/>
  <c r="Q93" i="51"/>
  <c r="I95" i="51"/>
  <c r="W94" i="51"/>
  <c r="E94" i="51"/>
  <c r="U93" i="51"/>
  <c r="T93" i="51"/>
  <c r="N93" i="51" s="1"/>
  <c r="C94" i="51"/>
  <c r="L99" i="51"/>
  <c r="X98" i="51"/>
  <c r="I96" i="51" l="1"/>
  <c r="W95" i="51"/>
  <c r="G96" i="51"/>
  <c r="V95" i="51"/>
  <c r="X99" i="51"/>
  <c r="L100" i="51"/>
  <c r="C95" i="51"/>
  <c r="T94" i="51"/>
  <c r="U94" i="51"/>
  <c r="E95" i="51"/>
  <c r="Q94" i="51"/>
  <c r="O95" i="51"/>
  <c r="W96" i="51" l="1"/>
  <c r="I97" i="51"/>
  <c r="U95" i="51"/>
  <c r="E96" i="51"/>
  <c r="Q95" i="51"/>
  <c r="O96" i="51"/>
  <c r="N94" i="51"/>
  <c r="X100" i="51"/>
  <c r="X101" i="51" s="1"/>
  <c r="L103" i="51"/>
  <c r="T95" i="51"/>
  <c r="N95" i="51" s="1"/>
  <c r="C96" i="51"/>
  <c r="V96" i="51"/>
  <c r="G97" i="51"/>
  <c r="T96" i="51" l="1"/>
  <c r="C97" i="51"/>
  <c r="V97" i="51"/>
  <c r="G98" i="51"/>
  <c r="X103" i="51"/>
  <c r="H11" i="51"/>
  <c r="L104" i="51"/>
  <c r="Q96" i="51"/>
  <c r="O97" i="51"/>
  <c r="W97" i="51"/>
  <c r="I98" i="51"/>
  <c r="U96" i="51"/>
  <c r="E97" i="51"/>
  <c r="L105" i="51" l="1"/>
  <c r="X104" i="51"/>
  <c r="W98" i="51"/>
  <c r="I99" i="51"/>
  <c r="C98" i="51"/>
  <c r="T97" i="51"/>
  <c r="G99" i="51"/>
  <c r="V98" i="51"/>
  <c r="E98" i="51"/>
  <c r="U97" i="51"/>
  <c r="Q97" i="51"/>
  <c r="O98" i="51"/>
  <c r="N96" i="51"/>
  <c r="O99" i="51" l="1"/>
  <c r="Q98" i="51"/>
  <c r="I100" i="51"/>
  <c r="W99" i="51"/>
  <c r="G100" i="51"/>
  <c r="V99" i="51"/>
  <c r="N97" i="51"/>
  <c r="E99" i="51"/>
  <c r="U98" i="51"/>
  <c r="T98" i="51"/>
  <c r="N98" i="51" s="1"/>
  <c r="C99" i="51"/>
  <c r="L106" i="51"/>
  <c r="X105" i="51"/>
  <c r="X106" i="51" l="1"/>
  <c r="L107" i="51"/>
  <c r="C100" i="51"/>
  <c r="T99" i="51"/>
  <c r="N99" i="51" s="1"/>
  <c r="W100" i="51"/>
  <c r="W101" i="51" s="1"/>
  <c r="I103" i="51"/>
  <c r="E100" i="51"/>
  <c r="U99" i="51"/>
  <c r="V100" i="51"/>
  <c r="V101" i="51" s="1"/>
  <c r="G103" i="51"/>
  <c r="O100" i="51"/>
  <c r="Q99" i="51"/>
  <c r="U100" i="51" l="1"/>
  <c r="U101" i="51" s="1"/>
  <c r="E103" i="51"/>
  <c r="T100" i="51"/>
  <c r="C103" i="51"/>
  <c r="O103" i="51"/>
  <c r="Q100" i="51"/>
  <c r="Q101" i="51" s="1"/>
  <c r="G4" i="51" s="1"/>
  <c r="V103" i="51"/>
  <c r="G104" i="51"/>
  <c r="I104" i="51"/>
  <c r="W103" i="51"/>
  <c r="X107" i="51"/>
  <c r="L108" i="51"/>
  <c r="X108" i="51" l="1"/>
  <c r="L109" i="51"/>
  <c r="N100" i="51"/>
  <c r="N101" i="51" s="1"/>
  <c r="T101" i="51"/>
  <c r="V104" i="51"/>
  <c r="G105" i="51"/>
  <c r="U103" i="51"/>
  <c r="E104" i="51"/>
  <c r="C104" i="51"/>
  <c r="T103" i="51"/>
  <c r="W104" i="51"/>
  <c r="I105" i="51"/>
  <c r="O104" i="51"/>
  <c r="Q103" i="51"/>
  <c r="S101" i="51" l="1"/>
  <c r="G3" i="51"/>
  <c r="Q104" i="51"/>
  <c r="O105" i="51"/>
  <c r="W105" i="51"/>
  <c r="I106" i="51"/>
  <c r="V105" i="51"/>
  <c r="G106" i="51"/>
  <c r="N103" i="51"/>
  <c r="T104" i="51"/>
  <c r="C105" i="51"/>
  <c r="U104" i="51"/>
  <c r="E105" i="51"/>
  <c r="X109" i="51"/>
  <c r="L110" i="51"/>
  <c r="G3" i="26" l="1"/>
  <c r="G6" i="51"/>
  <c r="W106" i="51"/>
  <c r="I107" i="51"/>
  <c r="T105" i="51"/>
  <c r="C106" i="51"/>
  <c r="X110" i="51"/>
  <c r="L111" i="51"/>
  <c r="N104" i="51"/>
  <c r="G107" i="51"/>
  <c r="V106" i="51"/>
  <c r="O106" i="51"/>
  <c r="Q105" i="51"/>
  <c r="E106" i="51"/>
  <c r="U105" i="51"/>
  <c r="G13" i="26" l="1"/>
  <c r="L112" i="51"/>
  <c r="X111" i="51"/>
  <c r="I108" i="51"/>
  <c r="W107" i="51"/>
  <c r="Q106" i="51"/>
  <c r="O107" i="51"/>
  <c r="N105" i="51"/>
  <c r="U106" i="51"/>
  <c r="E107" i="51"/>
  <c r="V107" i="51"/>
  <c r="G108" i="51"/>
  <c r="T106" i="51"/>
  <c r="N106" i="51" s="1"/>
  <c r="C107" i="51"/>
  <c r="G30" i="28" l="1"/>
  <c r="G16" i="26"/>
  <c r="G134" i="45"/>
  <c r="G130" i="45" s="1"/>
  <c r="G131" i="45" s="1"/>
  <c r="G14" i="26"/>
  <c r="T107" i="51"/>
  <c r="C108" i="51"/>
  <c r="I109" i="51"/>
  <c r="W108" i="51"/>
  <c r="U107" i="51"/>
  <c r="E108" i="51"/>
  <c r="O108" i="51"/>
  <c r="Q107" i="51"/>
  <c r="X112" i="51"/>
  <c r="L113" i="51"/>
  <c r="V108" i="51"/>
  <c r="G109" i="51"/>
  <c r="G17" i="26" l="1"/>
  <c r="G20" i="28"/>
  <c r="G31" i="28"/>
  <c r="G84" i="28"/>
  <c r="G87" i="28" s="1"/>
  <c r="W109" i="51"/>
  <c r="I110" i="51"/>
  <c r="L114" i="51"/>
  <c r="X113" i="51"/>
  <c r="O109" i="51"/>
  <c r="Q108" i="51"/>
  <c r="G110" i="51"/>
  <c r="V109" i="51"/>
  <c r="E109" i="51"/>
  <c r="U108" i="51"/>
  <c r="T108" i="51"/>
  <c r="C109" i="51"/>
  <c r="N107" i="51"/>
  <c r="G21" i="28" l="1"/>
  <c r="G23" i="28" s="1"/>
  <c r="G41" i="28" s="1"/>
  <c r="G135" i="45"/>
  <c r="G69" i="67"/>
  <c r="G197" i="67" s="1"/>
  <c r="G198" i="67" s="1"/>
  <c r="G55" i="45"/>
  <c r="G213" i="45" s="1"/>
  <c r="G215" i="45" s="1"/>
  <c r="N108" i="51"/>
  <c r="G111" i="51"/>
  <c r="V110" i="51"/>
  <c r="L117" i="51"/>
  <c r="X114" i="51"/>
  <c r="X115" i="51" s="1"/>
  <c r="W110" i="51"/>
  <c r="I111" i="51"/>
  <c r="T109" i="51"/>
  <c r="N109" i="51" s="1"/>
  <c r="C110" i="51"/>
  <c r="E110" i="51"/>
  <c r="U109" i="51"/>
  <c r="Q109" i="51"/>
  <c r="O110" i="51"/>
  <c r="G40" i="28" l="1"/>
  <c r="G38" i="28"/>
  <c r="G39" i="28" s="1"/>
  <c r="G74" i="28" s="1"/>
  <c r="G72" i="28"/>
  <c r="G33" i="28"/>
  <c r="V111" i="51"/>
  <c r="G112" i="51"/>
  <c r="E111" i="51"/>
  <c r="U110" i="51"/>
  <c r="Q110" i="51"/>
  <c r="O111" i="51"/>
  <c r="T110" i="51"/>
  <c r="N110" i="51" s="1"/>
  <c r="C111" i="51"/>
  <c r="W111" i="51"/>
  <c r="I112" i="51"/>
  <c r="L118" i="51"/>
  <c r="I11" i="51"/>
  <c r="X117" i="51"/>
  <c r="G81" i="28" l="1"/>
  <c r="G82" i="28" s="1"/>
  <c r="G83" i="28" s="1"/>
  <c r="G73" i="28"/>
  <c r="E112" i="51"/>
  <c r="U111" i="51"/>
  <c r="L119" i="51"/>
  <c r="X118" i="51"/>
  <c r="W112" i="51"/>
  <c r="I113" i="51"/>
  <c r="O112" i="51"/>
  <c r="Q111" i="51"/>
  <c r="V112" i="51"/>
  <c r="G113" i="51"/>
  <c r="T111" i="51"/>
  <c r="N111" i="51" s="1"/>
  <c r="C112" i="51"/>
  <c r="G90" i="28" l="1"/>
  <c r="G85" i="28"/>
  <c r="L120" i="51"/>
  <c r="X119" i="51"/>
  <c r="Q112" i="51"/>
  <c r="O113" i="51"/>
  <c r="I114" i="51"/>
  <c r="W113" i="51"/>
  <c r="G114" i="51"/>
  <c r="V113" i="51"/>
  <c r="T112" i="51"/>
  <c r="N112" i="51" s="1"/>
  <c r="C113" i="51"/>
  <c r="E113" i="51"/>
  <c r="U112" i="51"/>
  <c r="G88" i="28" l="1"/>
  <c r="G75" i="28" s="1"/>
  <c r="V114" i="51"/>
  <c r="V115" i="51" s="1"/>
  <c r="G117" i="51"/>
  <c r="C114" i="51"/>
  <c r="T113" i="51"/>
  <c r="E114" i="51"/>
  <c r="U113" i="51"/>
  <c r="W114" i="51"/>
  <c r="W115" i="51" s="1"/>
  <c r="I117" i="51"/>
  <c r="L121" i="51"/>
  <c r="X120" i="51"/>
  <c r="O114" i="51"/>
  <c r="Q113" i="51"/>
  <c r="O117" i="51" l="1"/>
  <c r="Q114" i="51"/>
  <c r="Q115" i="51" s="1"/>
  <c r="H4" i="51" s="1"/>
  <c r="G118" i="51"/>
  <c r="V117" i="51"/>
  <c r="T114" i="51"/>
  <c r="C117" i="51"/>
  <c r="L122" i="51"/>
  <c r="X121" i="51"/>
  <c r="E117" i="51"/>
  <c r="U114" i="51"/>
  <c r="U115" i="51" s="1"/>
  <c r="W117" i="51"/>
  <c r="I118" i="51"/>
  <c r="N113" i="51"/>
  <c r="W118" i="51" l="1"/>
  <c r="I119" i="51"/>
  <c r="L123" i="51"/>
  <c r="X122" i="51"/>
  <c r="G119" i="51"/>
  <c r="V118" i="51"/>
  <c r="C118" i="51"/>
  <c r="T117" i="51"/>
  <c r="E118" i="51"/>
  <c r="U117" i="51"/>
  <c r="N114" i="51"/>
  <c r="N115" i="51" s="1"/>
  <c r="T115" i="51"/>
  <c r="O118" i="51"/>
  <c r="Q117" i="51"/>
  <c r="S115" i="51" l="1"/>
  <c r="H3" i="51"/>
  <c r="U118" i="51"/>
  <c r="E119" i="51"/>
  <c r="G120" i="51"/>
  <c r="V119" i="51"/>
  <c r="X123" i="51"/>
  <c r="L124" i="51"/>
  <c r="O119" i="51"/>
  <c r="Q118" i="51"/>
  <c r="N117" i="51"/>
  <c r="I120" i="51"/>
  <c r="W119" i="51"/>
  <c r="C119" i="51"/>
  <c r="T118" i="51"/>
  <c r="N118" i="51" s="1"/>
  <c r="H3" i="26" l="1"/>
  <c r="H6" i="51"/>
  <c r="T119" i="51"/>
  <c r="N119" i="51" s="1"/>
  <c r="C120" i="51"/>
  <c r="U119" i="51"/>
  <c r="E120" i="51"/>
  <c r="I121" i="51"/>
  <c r="W120" i="51"/>
  <c r="Q119" i="51"/>
  <c r="O120" i="51"/>
  <c r="X124" i="51"/>
  <c r="L125" i="51"/>
  <c r="G121" i="51"/>
  <c r="V120" i="51"/>
  <c r="H13" i="26" l="1"/>
  <c r="L126" i="51"/>
  <c r="X125" i="51"/>
  <c r="E121" i="51"/>
  <c r="U120" i="51"/>
  <c r="I122" i="51"/>
  <c r="W121" i="51"/>
  <c r="G122" i="51"/>
  <c r="V121" i="51"/>
  <c r="Q120" i="51"/>
  <c r="O121" i="51"/>
  <c r="C121" i="51"/>
  <c r="T120" i="51"/>
  <c r="H134" i="45" l="1"/>
  <c r="H130" i="45" s="1"/>
  <c r="H131" i="45" s="1"/>
  <c r="H30" i="28"/>
  <c r="H14" i="26"/>
  <c r="H16" i="26"/>
  <c r="X126" i="51"/>
  <c r="L127" i="51"/>
  <c r="Q121" i="51"/>
  <c r="O122" i="51"/>
  <c r="I123" i="51"/>
  <c r="W122" i="51"/>
  <c r="N120" i="51"/>
  <c r="C122" i="51"/>
  <c r="T121" i="51"/>
  <c r="G123" i="51"/>
  <c r="V122" i="51"/>
  <c r="E122" i="51"/>
  <c r="U121" i="51"/>
  <c r="H17" i="26" l="1"/>
  <c r="H84" i="28"/>
  <c r="H87" i="28" s="1"/>
  <c r="H20" i="28"/>
  <c r="H31" i="28"/>
  <c r="N121" i="51"/>
  <c r="O123" i="51"/>
  <c r="Q122" i="51"/>
  <c r="T122" i="51"/>
  <c r="N122" i="51" s="1"/>
  <c r="C123" i="51"/>
  <c r="X127" i="51"/>
  <c r="L128" i="51"/>
  <c r="E123" i="51"/>
  <c r="U122" i="51"/>
  <c r="G124" i="51"/>
  <c r="V123" i="51"/>
  <c r="W123" i="51"/>
  <c r="I124" i="51"/>
  <c r="H21" i="28" l="1"/>
  <c r="H23" i="28" s="1"/>
  <c r="H69" i="67"/>
  <c r="H197" i="67" s="1"/>
  <c r="H198" i="67" s="1"/>
  <c r="H135" i="45"/>
  <c r="H55" i="45"/>
  <c r="H213" i="45" s="1"/>
  <c r="H215" i="45" s="1"/>
  <c r="Q123" i="51"/>
  <c r="O124" i="51"/>
  <c r="X128" i="51"/>
  <c r="X129" i="51" s="1"/>
  <c r="L131" i="51"/>
  <c r="I125" i="51"/>
  <c r="W124" i="51"/>
  <c r="G125" i="51"/>
  <c r="V124" i="51"/>
  <c r="E124" i="51"/>
  <c r="U123" i="51"/>
  <c r="T123" i="51"/>
  <c r="N123" i="51" s="1"/>
  <c r="C124" i="51"/>
  <c r="H40" i="28" l="1"/>
  <c r="H72" i="28"/>
  <c r="H33" i="28"/>
  <c r="H38" i="28"/>
  <c r="H39" i="28" s="1"/>
  <c r="H74" i="28" s="1"/>
  <c r="H41" i="28"/>
  <c r="O125" i="51"/>
  <c r="Q124" i="51"/>
  <c r="E125" i="51"/>
  <c r="U124" i="51"/>
  <c r="W125" i="51"/>
  <c r="I126" i="51"/>
  <c r="V125" i="51"/>
  <c r="G126" i="51"/>
  <c r="T124" i="51"/>
  <c r="C125" i="51"/>
  <c r="L132" i="51"/>
  <c r="J11" i="51"/>
  <c r="X131" i="51"/>
  <c r="H81" i="28" l="1"/>
  <c r="H82" i="28" s="1"/>
  <c r="H83" i="28" s="1"/>
  <c r="H73" i="28"/>
  <c r="L133" i="51"/>
  <c r="X132" i="51"/>
  <c r="E126" i="51"/>
  <c r="U125" i="51"/>
  <c r="T125" i="51"/>
  <c r="C126" i="51"/>
  <c r="I127" i="51"/>
  <c r="W126" i="51"/>
  <c r="G127" i="51"/>
  <c r="V126" i="51"/>
  <c r="N124" i="51"/>
  <c r="Q125" i="51"/>
  <c r="O126" i="51"/>
  <c r="H90" i="28" l="1"/>
  <c r="H85" i="28"/>
  <c r="I128" i="51"/>
  <c r="W127" i="51"/>
  <c r="U126" i="51"/>
  <c r="E127" i="51"/>
  <c r="O127" i="51"/>
  <c r="Q126" i="51"/>
  <c r="T126" i="51"/>
  <c r="N126" i="51" s="1"/>
  <c r="C127" i="51"/>
  <c r="G128" i="51"/>
  <c r="V127" i="51"/>
  <c r="N125" i="51"/>
  <c r="X133" i="51"/>
  <c r="L134" i="51"/>
  <c r="H88" i="28" l="1"/>
  <c r="H75" i="28" s="1"/>
  <c r="U127" i="51"/>
  <c r="E128" i="51"/>
  <c r="C128" i="51"/>
  <c r="T127" i="51"/>
  <c r="N127" i="51" s="1"/>
  <c r="L135" i="51"/>
  <c r="X134" i="51"/>
  <c r="G131" i="51"/>
  <c r="V128" i="51"/>
  <c r="V129" i="51" s="1"/>
  <c r="O128" i="51"/>
  <c r="Q127" i="51"/>
  <c r="I131" i="51"/>
  <c r="W128" i="51"/>
  <c r="W129" i="51" s="1"/>
  <c r="I132" i="51" l="1"/>
  <c r="W131" i="51"/>
  <c r="C131" i="51"/>
  <c r="T128" i="51"/>
  <c r="Q128" i="51"/>
  <c r="Q129" i="51" s="1"/>
  <c r="I4" i="51" s="1"/>
  <c r="O131" i="51"/>
  <c r="L136" i="51"/>
  <c r="X135" i="51"/>
  <c r="U128" i="51"/>
  <c r="U129" i="51" s="1"/>
  <c r="E131" i="51"/>
  <c r="V131" i="51"/>
  <c r="G132" i="51"/>
  <c r="X136" i="51" l="1"/>
  <c r="L137" i="51"/>
  <c r="U131" i="51"/>
  <c r="E132" i="51"/>
  <c r="O132" i="51"/>
  <c r="Q131" i="51"/>
  <c r="T131" i="51"/>
  <c r="C132" i="51"/>
  <c r="I133" i="51"/>
  <c r="W132" i="51"/>
  <c r="V132" i="51"/>
  <c r="G133" i="51"/>
  <c r="N128" i="51"/>
  <c r="N129" i="51" s="1"/>
  <c r="T129" i="51"/>
  <c r="S129" i="51" l="1"/>
  <c r="I3" i="51"/>
  <c r="W133" i="51"/>
  <c r="I134" i="51"/>
  <c r="G134" i="51"/>
  <c r="V133" i="51"/>
  <c r="L138" i="51"/>
  <c r="X137" i="51"/>
  <c r="E133" i="51"/>
  <c r="U132" i="51"/>
  <c r="C133" i="51"/>
  <c r="T132" i="51"/>
  <c r="N132" i="51" s="1"/>
  <c r="N131" i="51"/>
  <c r="Q132" i="51"/>
  <c r="O133" i="51"/>
  <c r="I3" i="26" l="1"/>
  <c r="I6" i="51"/>
  <c r="L139" i="51"/>
  <c r="X138" i="51"/>
  <c r="W134" i="51"/>
  <c r="I135" i="51"/>
  <c r="V134" i="51"/>
  <c r="G135" i="51"/>
  <c r="C134" i="51"/>
  <c r="T133" i="51"/>
  <c r="O134" i="51"/>
  <c r="Q133" i="51"/>
  <c r="E134" i="51"/>
  <c r="U133" i="51"/>
  <c r="I13" i="26" l="1"/>
  <c r="I136" i="51"/>
  <c r="W135" i="51"/>
  <c r="T134" i="51"/>
  <c r="C135" i="51"/>
  <c r="V135" i="51"/>
  <c r="G136" i="51"/>
  <c r="N133" i="51"/>
  <c r="E135" i="51"/>
  <c r="U134" i="51"/>
  <c r="Q134" i="51"/>
  <c r="O135" i="51"/>
  <c r="X139" i="51"/>
  <c r="L140" i="51"/>
  <c r="I16" i="26" l="1"/>
  <c r="I14" i="26"/>
  <c r="I30" i="28"/>
  <c r="I134" i="45"/>
  <c r="I130" i="45" s="1"/>
  <c r="I131" i="45" s="1"/>
  <c r="W136" i="51"/>
  <c r="I137" i="51"/>
  <c r="G137" i="51"/>
  <c r="V136" i="51"/>
  <c r="Q135" i="51"/>
  <c r="O136" i="51"/>
  <c r="C136" i="51"/>
  <c r="T135" i="51"/>
  <c r="X140" i="51"/>
  <c r="L141" i="51"/>
  <c r="U135" i="51"/>
  <c r="E136" i="51"/>
  <c r="N134" i="51"/>
  <c r="I84" i="28" l="1"/>
  <c r="I87" i="28" s="1"/>
  <c r="I31" i="28"/>
  <c r="I20" i="28"/>
  <c r="I17" i="26"/>
  <c r="G138" i="51"/>
  <c r="V137" i="51"/>
  <c r="L142" i="51"/>
  <c r="X141" i="51"/>
  <c r="Q136" i="51"/>
  <c r="O137" i="51"/>
  <c r="I138" i="51"/>
  <c r="W137" i="51"/>
  <c r="T136" i="51"/>
  <c r="C137" i="51"/>
  <c r="U136" i="51"/>
  <c r="E137" i="51"/>
  <c r="N135" i="51"/>
  <c r="I21" i="28" l="1"/>
  <c r="I23" i="28" s="1"/>
  <c r="I135" i="45"/>
  <c r="I69" i="67"/>
  <c r="I197" i="67" s="1"/>
  <c r="I198" i="67" s="1"/>
  <c r="I55" i="45"/>
  <c r="I213" i="45" s="1"/>
  <c r="I215" i="45" s="1"/>
  <c r="I139" i="51"/>
  <c r="W138" i="51"/>
  <c r="Q137" i="51"/>
  <c r="O138" i="51"/>
  <c r="N136" i="51"/>
  <c r="G139" i="51"/>
  <c r="V138" i="51"/>
  <c r="L145" i="51"/>
  <c r="X142" i="51"/>
  <c r="X143" i="51" s="1"/>
  <c r="C138" i="51"/>
  <c r="T137" i="51"/>
  <c r="E138" i="51"/>
  <c r="U137" i="51"/>
  <c r="I33" i="28" l="1"/>
  <c r="I72" i="28"/>
  <c r="I41" i="28"/>
  <c r="I38" i="28"/>
  <c r="I39" i="28" s="1"/>
  <c r="I74" i="28" s="1"/>
  <c r="I40" i="28"/>
  <c r="U138" i="51"/>
  <c r="E139" i="51"/>
  <c r="X145" i="51"/>
  <c r="L146" i="51"/>
  <c r="K11" i="51"/>
  <c r="N137" i="51"/>
  <c r="C139" i="51"/>
  <c r="T138" i="51"/>
  <c r="N138" i="51" s="1"/>
  <c r="G140" i="51"/>
  <c r="V139" i="51"/>
  <c r="Q138" i="51"/>
  <c r="O139" i="51"/>
  <c r="I140" i="51"/>
  <c r="W139" i="51"/>
  <c r="I81" i="28" l="1"/>
  <c r="I82" i="28" s="1"/>
  <c r="I83" i="28" s="1"/>
  <c r="I73" i="28"/>
  <c r="X146" i="51"/>
  <c r="L147" i="51"/>
  <c r="C140" i="51"/>
  <c r="T139" i="51"/>
  <c r="I141" i="51"/>
  <c r="W140" i="51"/>
  <c r="V140" i="51"/>
  <c r="G141" i="51"/>
  <c r="U139" i="51"/>
  <c r="E140" i="51"/>
  <c r="O140" i="51"/>
  <c r="Q139" i="51"/>
  <c r="I90" i="28" l="1"/>
  <c r="I85" i="28"/>
  <c r="T140" i="51"/>
  <c r="C141" i="51"/>
  <c r="E141" i="51"/>
  <c r="U140" i="51"/>
  <c r="W141" i="51"/>
  <c r="I142" i="51"/>
  <c r="L148" i="51"/>
  <c r="X147" i="51"/>
  <c r="O141" i="51"/>
  <c r="Q140" i="51"/>
  <c r="V141" i="51"/>
  <c r="G142" i="51"/>
  <c r="N139" i="51"/>
  <c r="I88" i="28" l="1"/>
  <c r="I75" i="28" s="1"/>
  <c r="G145" i="51"/>
  <c r="V142" i="51"/>
  <c r="V143" i="51" s="1"/>
  <c r="X148" i="51"/>
  <c r="L149" i="51"/>
  <c r="E142" i="51"/>
  <c r="U141" i="51"/>
  <c r="W142" i="51"/>
  <c r="W143" i="51" s="1"/>
  <c r="I145" i="51"/>
  <c r="C142" i="51"/>
  <c r="T141" i="51"/>
  <c r="N141" i="51" s="1"/>
  <c r="O142" i="51"/>
  <c r="Q141" i="51"/>
  <c r="N140" i="51"/>
  <c r="O145" i="51" l="1"/>
  <c r="Q142" i="51"/>
  <c r="Q143" i="51" s="1"/>
  <c r="J4" i="51" s="1"/>
  <c r="T142" i="51"/>
  <c r="C145" i="51"/>
  <c r="U142" i="51"/>
  <c r="U143" i="51" s="1"/>
  <c r="E145" i="51"/>
  <c r="W145" i="51"/>
  <c r="I146" i="51"/>
  <c r="X149" i="51"/>
  <c r="L150" i="51"/>
  <c r="G146" i="51"/>
  <c r="V145" i="51"/>
  <c r="G147" i="51" l="1"/>
  <c r="V146" i="51"/>
  <c r="N142" i="51"/>
  <c r="N143" i="51" s="1"/>
  <c r="T143" i="51"/>
  <c r="X150" i="51"/>
  <c r="L151" i="51"/>
  <c r="E146" i="51"/>
  <c r="U145" i="51"/>
  <c r="Q145" i="51"/>
  <c r="O146" i="51"/>
  <c r="I147" i="51"/>
  <c r="W146" i="51"/>
  <c r="C146" i="51"/>
  <c r="T145" i="51"/>
  <c r="S143" i="51" l="1"/>
  <c r="J3" i="51"/>
  <c r="N145" i="51"/>
  <c r="U146" i="51"/>
  <c r="E147" i="51"/>
  <c r="T146" i="51"/>
  <c r="C147" i="51"/>
  <c r="O147" i="51"/>
  <c r="Q146" i="51"/>
  <c r="X151" i="51"/>
  <c r="L152" i="51"/>
  <c r="W147" i="51"/>
  <c r="I148" i="51"/>
  <c r="G148" i="51"/>
  <c r="V147" i="51"/>
  <c r="J3" i="26" l="1"/>
  <c r="J6" i="51"/>
  <c r="E148" i="51"/>
  <c r="U147" i="51"/>
  <c r="V148" i="51"/>
  <c r="G149" i="51"/>
  <c r="O148" i="51"/>
  <c r="Q147" i="51"/>
  <c r="L153" i="51"/>
  <c r="X152" i="51"/>
  <c r="T147" i="51"/>
  <c r="C148" i="51"/>
  <c r="W148" i="51"/>
  <c r="I149" i="51"/>
  <c r="N146" i="51"/>
  <c r="J13" i="26" l="1"/>
  <c r="W149" i="51"/>
  <c r="I150" i="51"/>
  <c r="V149" i="51"/>
  <c r="G150" i="51"/>
  <c r="L154" i="51"/>
  <c r="X153" i="51"/>
  <c r="C149" i="51"/>
  <c r="T148" i="51"/>
  <c r="N148" i="51" s="1"/>
  <c r="N147" i="51"/>
  <c r="Q148" i="51"/>
  <c r="O149" i="51"/>
  <c r="E149" i="51"/>
  <c r="U148" i="51"/>
  <c r="J30" i="28" l="1"/>
  <c r="J134" i="45"/>
  <c r="J130" i="45" s="1"/>
  <c r="J131" i="45" s="1"/>
  <c r="J16" i="26"/>
  <c r="J14" i="26"/>
  <c r="U149" i="51"/>
  <c r="E150" i="51"/>
  <c r="L155" i="51"/>
  <c r="X154" i="51"/>
  <c r="Q149" i="51"/>
  <c r="O150" i="51"/>
  <c r="G151" i="51"/>
  <c r="V150" i="51"/>
  <c r="T149" i="51"/>
  <c r="N149" i="51" s="1"/>
  <c r="C150" i="51"/>
  <c r="W150" i="51"/>
  <c r="I151" i="51"/>
  <c r="J17" i="26" l="1"/>
  <c r="J84" i="28"/>
  <c r="J87" i="28" s="1"/>
  <c r="J20" i="28"/>
  <c r="J31" i="28"/>
  <c r="C151" i="51"/>
  <c r="T150" i="51"/>
  <c r="O151" i="51"/>
  <c r="Q150" i="51"/>
  <c r="L156" i="51"/>
  <c r="X155" i="51"/>
  <c r="W151" i="51"/>
  <c r="I152" i="51"/>
  <c r="E151" i="51"/>
  <c r="U150" i="51"/>
  <c r="V151" i="51"/>
  <c r="G152" i="51"/>
  <c r="J21" i="28" l="1"/>
  <c r="J23" i="28" s="1"/>
  <c r="J38" i="28" s="1"/>
  <c r="J39" i="28" s="1"/>
  <c r="J74" i="28" s="1"/>
  <c r="J55" i="45"/>
  <c r="J213" i="45" s="1"/>
  <c r="J215" i="45" s="1"/>
  <c r="J69" i="67"/>
  <c r="J197" i="67" s="1"/>
  <c r="J198" i="67" s="1"/>
  <c r="J135" i="45"/>
  <c r="Q151" i="51"/>
  <c r="O152" i="51"/>
  <c r="N150" i="51"/>
  <c r="V152" i="51"/>
  <c r="G153" i="51"/>
  <c r="E152" i="51"/>
  <c r="U151" i="51"/>
  <c r="L159" i="51"/>
  <c r="X156" i="51"/>
  <c r="X157" i="51" s="1"/>
  <c r="T151" i="51"/>
  <c r="C152" i="51"/>
  <c r="I153" i="51"/>
  <c r="W152" i="51"/>
  <c r="J41" i="28" l="1"/>
  <c r="J72" i="28"/>
  <c r="J33" i="28"/>
  <c r="J40" i="28"/>
  <c r="I154" i="51"/>
  <c r="W153" i="51"/>
  <c r="X159" i="51"/>
  <c r="L160" i="51"/>
  <c r="L11" i="51"/>
  <c r="C153" i="51"/>
  <c r="T152" i="51"/>
  <c r="N152" i="51" s="1"/>
  <c r="N151" i="51"/>
  <c r="U152" i="51"/>
  <c r="E153" i="51"/>
  <c r="Q152" i="51"/>
  <c r="O153" i="51"/>
  <c r="V153" i="51"/>
  <c r="G154" i="51"/>
  <c r="J73" i="28" l="1"/>
  <c r="J81" i="28"/>
  <c r="J82" i="28" s="1"/>
  <c r="J83" i="28" s="1"/>
  <c r="L161" i="51"/>
  <c r="X160" i="51"/>
  <c r="G155" i="51"/>
  <c r="V154" i="51"/>
  <c r="E154" i="51"/>
  <c r="U153" i="51"/>
  <c r="C154" i="51"/>
  <c r="T153" i="51"/>
  <c r="Q153" i="51"/>
  <c r="O154" i="51"/>
  <c r="I155" i="51"/>
  <c r="W154" i="51"/>
  <c r="J90" i="28" l="1"/>
  <c r="J85" i="28"/>
  <c r="W155" i="51"/>
  <c r="I156" i="51"/>
  <c r="T154" i="51"/>
  <c r="N154" i="51" s="1"/>
  <c r="C155" i="51"/>
  <c r="Q154" i="51"/>
  <c r="O155" i="51"/>
  <c r="V155" i="51"/>
  <c r="G156" i="51"/>
  <c r="N153" i="51"/>
  <c r="U154" i="51"/>
  <c r="E155" i="51"/>
  <c r="X161" i="51"/>
  <c r="L162" i="51"/>
  <c r="J88" i="28" l="1"/>
  <c r="J75" i="28" s="1"/>
  <c r="G159" i="51"/>
  <c r="V156" i="51"/>
  <c r="V157" i="51" s="1"/>
  <c r="T155" i="51"/>
  <c r="N155" i="51" s="1"/>
  <c r="C156" i="51"/>
  <c r="U155" i="51"/>
  <c r="E156" i="51"/>
  <c r="O156" i="51"/>
  <c r="Q155" i="51"/>
  <c r="I159" i="51"/>
  <c r="W156" i="51"/>
  <c r="W157" i="51" s="1"/>
  <c r="X162" i="51"/>
  <c r="L163" i="51"/>
  <c r="Q156" i="51" l="1"/>
  <c r="Q157" i="51" s="1"/>
  <c r="K4" i="51" s="1"/>
  <c r="O159" i="51"/>
  <c r="U156" i="51"/>
  <c r="U157" i="51" s="1"/>
  <c r="E159" i="51"/>
  <c r="W159" i="51"/>
  <c r="I160" i="51"/>
  <c r="G160" i="51"/>
  <c r="V159" i="51"/>
  <c r="L164" i="51"/>
  <c r="X163" i="51"/>
  <c r="C159" i="51"/>
  <c r="T156" i="51"/>
  <c r="T159" i="51" l="1"/>
  <c r="C160" i="51"/>
  <c r="V160" i="51"/>
  <c r="G161" i="51"/>
  <c r="W160" i="51"/>
  <c r="I161" i="51"/>
  <c r="Q159" i="51"/>
  <c r="O160" i="51"/>
  <c r="X164" i="51"/>
  <c r="L165" i="51"/>
  <c r="N156" i="51"/>
  <c r="N157" i="51" s="1"/>
  <c r="T157" i="51"/>
  <c r="U159" i="51"/>
  <c r="E160" i="51"/>
  <c r="S157" i="51" l="1"/>
  <c r="K3" i="51"/>
  <c r="E161" i="51"/>
  <c r="U160" i="51"/>
  <c r="O161" i="51"/>
  <c r="Q160" i="51"/>
  <c r="V161" i="51"/>
  <c r="G162" i="51"/>
  <c r="L166" i="51"/>
  <c r="X165" i="51"/>
  <c r="W161" i="51"/>
  <c r="I162" i="51"/>
  <c r="T160" i="51"/>
  <c r="C161" i="51"/>
  <c r="N159" i="51"/>
  <c r="K3" i="26" l="1"/>
  <c r="K6" i="51"/>
  <c r="Q161" i="51"/>
  <c r="O162" i="51"/>
  <c r="T161" i="51"/>
  <c r="C162" i="51"/>
  <c r="G163" i="51"/>
  <c r="V162" i="51"/>
  <c r="N160" i="51"/>
  <c r="X166" i="51"/>
  <c r="L167" i="51"/>
  <c r="E162" i="51"/>
  <c r="U161" i="51"/>
  <c r="I163" i="51"/>
  <c r="W162" i="51"/>
  <c r="K13" i="26" l="1"/>
  <c r="W163" i="51"/>
  <c r="I164" i="51"/>
  <c r="X167" i="51"/>
  <c r="L168" i="51"/>
  <c r="G164" i="51"/>
  <c r="V163" i="51"/>
  <c r="C163" i="51"/>
  <c r="T162" i="51"/>
  <c r="N161" i="51"/>
  <c r="E163" i="51"/>
  <c r="U162" i="51"/>
  <c r="O163" i="51"/>
  <c r="Q162" i="51"/>
  <c r="K134" i="45" l="1"/>
  <c r="K130" i="45" s="1"/>
  <c r="K131" i="45" s="1"/>
  <c r="K16" i="26"/>
  <c r="K30" i="28"/>
  <c r="K14" i="26"/>
  <c r="O164" i="51"/>
  <c r="Q163" i="51"/>
  <c r="I165" i="51"/>
  <c r="W164" i="51"/>
  <c r="N162" i="51"/>
  <c r="G165" i="51"/>
  <c r="V164" i="51"/>
  <c r="E164" i="51"/>
  <c r="U163" i="51"/>
  <c r="T163" i="51"/>
  <c r="N163" i="51" s="1"/>
  <c r="C164" i="51"/>
  <c r="L169" i="51"/>
  <c r="X168" i="51"/>
  <c r="K84" i="28" l="1"/>
  <c r="K87" i="28" s="1"/>
  <c r="K20" i="28"/>
  <c r="K31" i="28"/>
  <c r="K17" i="26"/>
  <c r="X169" i="51"/>
  <c r="L170" i="51"/>
  <c r="E165" i="51"/>
  <c r="U164" i="51"/>
  <c r="T164" i="51"/>
  <c r="C165" i="51"/>
  <c r="Q164" i="51"/>
  <c r="O165" i="51"/>
  <c r="G166" i="51"/>
  <c r="V165" i="51"/>
  <c r="W165" i="51"/>
  <c r="I166" i="51"/>
  <c r="K21" i="28" l="1"/>
  <c r="K23" i="28" s="1"/>
  <c r="K40" i="28" s="1"/>
  <c r="K55" i="45"/>
  <c r="K213" i="45" s="1"/>
  <c r="K215" i="45" s="1"/>
  <c r="K69" i="67"/>
  <c r="K197" i="67" s="1"/>
  <c r="K198" i="67" s="1"/>
  <c r="K135" i="45"/>
  <c r="O166" i="51"/>
  <c r="Q165" i="51"/>
  <c r="U165" i="51"/>
  <c r="E166" i="51"/>
  <c r="V166" i="51"/>
  <c r="G167" i="51"/>
  <c r="T165" i="51"/>
  <c r="N165" i="51" s="1"/>
  <c r="C166" i="51"/>
  <c r="L173" i="51"/>
  <c r="X170" i="51"/>
  <c r="X171" i="51" s="1"/>
  <c r="I167" i="51"/>
  <c r="W166" i="51"/>
  <c r="N164" i="51"/>
  <c r="K38" i="28" l="1"/>
  <c r="K39" i="28" s="1"/>
  <c r="K74" i="28" s="1"/>
  <c r="K72" i="28"/>
  <c r="K33" i="28"/>
  <c r="K41" i="28"/>
  <c r="T166" i="51"/>
  <c r="C167" i="51"/>
  <c r="E167" i="51"/>
  <c r="U166" i="51"/>
  <c r="I168" i="51"/>
  <c r="W167" i="51"/>
  <c r="G168" i="51"/>
  <c r="V167" i="51"/>
  <c r="M11" i="51"/>
  <c r="X173" i="51"/>
  <c r="L174" i="51"/>
  <c r="O167" i="51"/>
  <c r="Q166" i="51"/>
  <c r="K81" i="28" l="1"/>
  <c r="K82" i="28" s="1"/>
  <c r="K83" i="28" s="1"/>
  <c r="K73" i="28"/>
  <c r="X174" i="51"/>
  <c r="L175" i="51"/>
  <c r="G169" i="51"/>
  <c r="V168" i="51"/>
  <c r="U167" i="51"/>
  <c r="E168" i="51"/>
  <c r="C168" i="51"/>
  <c r="T167" i="51"/>
  <c r="Q167" i="51"/>
  <c r="O168" i="51"/>
  <c r="W168" i="51"/>
  <c r="I169" i="51"/>
  <c r="N166" i="51"/>
  <c r="K85" i="28" l="1"/>
  <c r="K90" i="28"/>
  <c r="T168" i="51"/>
  <c r="C169" i="51"/>
  <c r="Q168" i="51"/>
  <c r="O169" i="51"/>
  <c r="E169" i="51"/>
  <c r="U168" i="51"/>
  <c r="V169" i="51"/>
  <c r="G170" i="51"/>
  <c r="X175" i="51"/>
  <c r="L176" i="51"/>
  <c r="I170" i="51"/>
  <c r="W169" i="51"/>
  <c r="N167" i="51"/>
  <c r="K88" i="28" l="1"/>
  <c r="K75" i="28" s="1"/>
  <c r="V170" i="51"/>
  <c r="V171" i="51" s="1"/>
  <c r="G173" i="51"/>
  <c r="Q169" i="51"/>
  <c r="O170" i="51"/>
  <c r="W170" i="51"/>
  <c r="W171" i="51" s="1"/>
  <c r="I173" i="51"/>
  <c r="L177" i="51"/>
  <c r="X176" i="51"/>
  <c r="C170" i="51"/>
  <c r="T169" i="51"/>
  <c r="U169" i="51"/>
  <c r="E170" i="51"/>
  <c r="N168" i="51"/>
  <c r="Q170" i="51" l="1"/>
  <c r="Q171" i="51" s="1"/>
  <c r="L4" i="51" s="1"/>
  <c r="O173" i="51"/>
  <c r="L178" i="51"/>
  <c r="X177" i="51"/>
  <c r="N169" i="51"/>
  <c r="I174" i="51"/>
  <c r="W173" i="51"/>
  <c r="G174" i="51"/>
  <c r="V173" i="51"/>
  <c r="U170" i="51"/>
  <c r="U171" i="51" s="1"/>
  <c r="E173" i="51"/>
  <c r="T170" i="51"/>
  <c r="C173" i="51"/>
  <c r="E174" i="51" l="1"/>
  <c r="U173" i="51"/>
  <c r="X178" i="51"/>
  <c r="L179" i="51"/>
  <c r="I175" i="51"/>
  <c r="W174" i="51"/>
  <c r="Q173" i="51"/>
  <c r="O174" i="51"/>
  <c r="C174" i="51"/>
  <c r="T173" i="51"/>
  <c r="N170" i="51"/>
  <c r="N171" i="51" s="1"/>
  <c r="T171" i="51"/>
  <c r="V174" i="51"/>
  <c r="G175" i="51"/>
  <c r="S171" i="51" l="1"/>
  <c r="L3" i="51"/>
  <c r="V175" i="51"/>
  <c r="G176" i="51"/>
  <c r="N173" i="51"/>
  <c r="C175" i="51"/>
  <c r="T174" i="51"/>
  <c r="N174" i="51" s="1"/>
  <c r="W175" i="51"/>
  <c r="I176" i="51"/>
  <c r="O175" i="51"/>
  <c r="Q174" i="51"/>
  <c r="L180" i="51"/>
  <c r="X179" i="51"/>
  <c r="E175" i="51"/>
  <c r="U174" i="51"/>
  <c r="L3" i="26" l="1"/>
  <c r="V3" i="51"/>
  <c r="L6" i="51"/>
  <c r="U175" i="51"/>
  <c r="E176" i="51"/>
  <c r="O176" i="51"/>
  <c r="Q175" i="51"/>
  <c r="C176" i="51"/>
  <c r="T175" i="51"/>
  <c r="N175" i="51" s="1"/>
  <c r="G177" i="51"/>
  <c r="V176" i="51"/>
  <c r="X180" i="51"/>
  <c r="L181" i="51"/>
  <c r="I177" i="51"/>
  <c r="W176" i="51"/>
  <c r="L13" i="26" l="1"/>
  <c r="V3" i="26"/>
  <c r="W177" i="51"/>
  <c r="I178" i="51"/>
  <c r="V177" i="51"/>
  <c r="G178" i="51"/>
  <c r="Q176" i="51"/>
  <c r="O177" i="51"/>
  <c r="X181" i="51"/>
  <c r="L182" i="51"/>
  <c r="E177" i="51"/>
  <c r="U176" i="51"/>
  <c r="C177" i="51"/>
  <c r="T176" i="51"/>
  <c r="L14" i="26" l="1"/>
  <c r="L134" i="45"/>
  <c r="L130" i="45" s="1"/>
  <c r="L131" i="45" s="1"/>
  <c r="L16" i="26"/>
  <c r="V16" i="26" s="1"/>
  <c r="L30" i="28"/>
  <c r="T177" i="51"/>
  <c r="C178" i="51"/>
  <c r="X182" i="51"/>
  <c r="L183" i="51"/>
  <c r="V178" i="51"/>
  <c r="G179" i="51"/>
  <c r="Q177" i="51"/>
  <c r="O178" i="51"/>
  <c r="W178" i="51"/>
  <c r="I179" i="51"/>
  <c r="N176" i="51"/>
  <c r="U177" i="51"/>
  <c r="E178" i="51"/>
  <c r="L84" i="28" l="1"/>
  <c r="L87" i="28" s="1"/>
  <c r="L31" i="28"/>
  <c r="L20" i="28"/>
  <c r="V30" i="28"/>
  <c r="L17" i="26"/>
  <c r="H18" i="26"/>
  <c r="H136" i="45" s="1"/>
  <c r="V14" i="26"/>
  <c r="L184" i="51"/>
  <c r="X183" i="51"/>
  <c r="I180" i="51"/>
  <c r="W179" i="51"/>
  <c r="C179" i="51"/>
  <c r="T178" i="51"/>
  <c r="N178" i="51" s="1"/>
  <c r="U178" i="51"/>
  <c r="E179" i="51"/>
  <c r="V179" i="51"/>
  <c r="G180" i="51"/>
  <c r="O179" i="51"/>
  <c r="Q178" i="51"/>
  <c r="N177" i="51"/>
  <c r="L21" i="28" l="1"/>
  <c r="L23" i="28" s="1"/>
  <c r="L40" i="28" s="1"/>
  <c r="V20" i="28"/>
  <c r="L55" i="45"/>
  <c r="L213" i="45" s="1"/>
  <c r="L215" i="45" s="1"/>
  <c r="L69" i="67"/>
  <c r="L197" i="67" s="1"/>
  <c r="L198" i="67" s="1"/>
  <c r="L135" i="45"/>
  <c r="G181" i="51"/>
  <c r="V180" i="51"/>
  <c r="T179" i="51"/>
  <c r="C180" i="51"/>
  <c r="Q179" i="51"/>
  <c r="O180" i="51"/>
  <c r="U179" i="51"/>
  <c r="E180" i="51"/>
  <c r="I181" i="51"/>
  <c r="W180" i="51"/>
  <c r="L187" i="51"/>
  <c r="X184" i="51"/>
  <c r="X185" i="51" s="1"/>
  <c r="L38" i="28" l="1"/>
  <c r="L39" i="28" s="1"/>
  <c r="L74" i="28" s="1"/>
  <c r="L41" i="28"/>
  <c r="L33" i="28"/>
  <c r="L72" i="28"/>
  <c r="N179" i="51"/>
  <c r="I182" i="51"/>
  <c r="W181" i="51"/>
  <c r="O181" i="51"/>
  <c r="Q180" i="51"/>
  <c r="G182" i="51"/>
  <c r="V181" i="51"/>
  <c r="L188" i="51"/>
  <c r="N11" i="51"/>
  <c r="X187" i="51"/>
  <c r="E181" i="51"/>
  <c r="U180" i="51"/>
  <c r="C181" i="51"/>
  <c r="T180" i="51"/>
  <c r="N180" i="51" s="1"/>
  <c r="L73" i="28" l="1"/>
  <c r="L81" i="28"/>
  <c r="L82" i="28" s="1"/>
  <c r="L83" i="28" s="1"/>
  <c r="X188" i="51"/>
  <c r="L189" i="51"/>
  <c r="Q181" i="51"/>
  <c r="O182" i="51"/>
  <c r="U181" i="51"/>
  <c r="E182" i="51"/>
  <c r="V182" i="51"/>
  <c r="G183" i="51"/>
  <c r="I183" i="51"/>
  <c r="W182" i="51"/>
  <c r="T181" i="51"/>
  <c r="N181" i="51" s="1"/>
  <c r="C182" i="51"/>
  <c r="L90" i="28" l="1"/>
  <c r="L85" i="28"/>
  <c r="H91" i="28"/>
  <c r="O183" i="51"/>
  <c r="Q182" i="51"/>
  <c r="U182" i="51"/>
  <c r="E183" i="51"/>
  <c r="X189" i="51"/>
  <c r="L190" i="51"/>
  <c r="I184" i="51"/>
  <c r="W183" i="51"/>
  <c r="C183" i="51"/>
  <c r="T182" i="51"/>
  <c r="N182" i="51" s="1"/>
  <c r="G184" i="51"/>
  <c r="V183" i="51"/>
  <c r="L88" i="28" l="1"/>
  <c r="L75" i="28" s="1"/>
  <c r="H89" i="28"/>
  <c r="H76" i="28" s="1"/>
  <c r="E184" i="51"/>
  <c r="U183" i="51"/>
  <c r="V184" i="51"/>
  <c r="V185" i="51" s="1"/>
  <c r="G187" i="51"/>
  <c r="I187" i="51"/>
  <c r="W184" i="51"/>
  <c r="W185" i="51" s="1"/>
  <c r="X190" i="51"/>
  <c r="L191" i="51"/>
  <c r="C184" i="51"/>
  <c r="T183" i="51"/>
  <c r="N183" i="51" s="1"/>
  <c r="Q183" i="51"/>
  <c r="O184" i="51"/>
  <c r="X191" i="51" l="1"/>
  <c r="L192" i="51"/>
  <c r="G188" i="51"/>
  <c r="V187" i="51"/>
  <c r="Q184" i="51"/>
  <c r="Q185" i="51" s="1"/>
  <c r="M4" i="51" s="1"/>
  <c r="M6" i="51" s="1"/>
  <c r="O187" i="51"/>
  <c r="C187" i="51"/>
  <c r="T184" i="51"/>
  <c r="I188" i="51"/>
  <c r="W187" i="51"/>
  <c r="U184" i="51"/>
  <c r="U185" i="51" s="1"/>
  <c r="E187" i="51"/>
  <c r="I189" i="51" l="1"/>
  <c r="W188" i="51"/>
  <c r="E188" i="51"/>
  <c r="U187" i="51"/>
  <c r="T187" i="51"/>
  <c r="C188" i="51"/>
  <c r="V188" i="51"/>
  <c r="G189" i="51"/>
  <c r="N184" i="51"/>
  <c r="N185" i="51" s="1"/>
  <c r="S185" i="51" s="1"/>
  <c r="T185" i="51"/>
  <c r="Q187" i="51"/>
  <c r="O188" i="51"/>
  <c r="L193" i="51"/>
  <c r="X192" i="51"/>
  <c r="U188" i="51" l="1"/>
  <c r="E189" i="51"/>
  <c r="T188" i="51"/>
  <c r="N188" i="51" s="1"/>
  <c r="C189" i="51"/>
  <c r="X193" i="51"/>
  <c r="L194" i="51"/>
  <c r="O189" i="51"/>
  <c r="Q188" i="51"/>
  <c r="N187" i="51"/>
  <c r="V189" i="51"/>
  <c r="G190" i="51"/>
  <c r="W189" i="51"/>
  <c r="I190" i="51"/>
  <c r="O190" i="51" l="1"/>
  <c r="Q189" i="51"/>
  <c r="L195" i="51"/>
  <c r="X194" i="51"/>
  <c r="U189" i="51"/>
  <c r="E190" i="51"/>
  <c r="G191" i="51"/>
  <c r="V190" i="51"/>
  <c r="I191" i="51"/>
  <c r="W190" i="51"/>
  <c r="C190" i="51"/>
  <c r="T189" i="51"/>
  <c r="U190" i="51" l="1"/>
  <c r="E191" i="51"/>
  <c r="N189" i="51"/>
  <c r="T190" i="51"/>
  <c r="N190" i="51" s="1"/>
  <c r="C191" i="51"/>
  <c r="G192" i="51"/>
  <c r="V191" i="51"/>
  <c r="O191" i="51"/>
  <c r="Q190" i="51"/>
  <c r="I192" i="51"/>
  <c r="W191" i="51"/>
  <c r="L196" i="51"/>
  <c r="X195" i="51"/>
  <c r="X196" i="51" l="1"/>
  <c r="L197" i="51"/>
  <c r="U191" i="51"/>
  <c r="E192" i="51"/>
  <c r="W192" i="51"/>
  <c r="I193" i="51"/>
  <c r="G193" i="51"/>
  <c r="V192" i="51"/>
  <c r="O192" i="51"/>
  <c r="Q191" i="51"/>
  <c r="C192" i="51"/>
  <c r="T191" i="51"/>
  <c r="N191" i="51" s="1"/>
  <c r="W193" i="51" l="1"/>
  <c r="I194" i="51"/>
  <c r="O193" i="51"/>
  <c r="Q192" i="51"/>
  <c r="X197" i="51"/>
  <c r="L198" i="51"/>
  <c r="U192" i="51"/>
  <c r="E193" i="51"/>
  <c r="T192" i="51"/>
  <c r="C193" i="51"/>
  <c r="G194" i="51"/>
  <c r="V193" i="51"/>
  <c r="V194" i="51" l="1"/>
  <c r="G195" i="51"/>
  <c r="O194" i="51"/>
  <c r="Q193" i="51"/>
  <c r="T193" i="51"/>
  <c r="C194" i="51"/>
  <c r="L201" i="51"/>
  <c r="X198" i="51"/>
  <c r="X199" i="51" s="1"/>
  <c r="I195" i="51"/>
  <c r="W194" i="51"/>
  <c r="N192" i="51"/>
  <c r="E194" i="51"/>
  <c r="U193" i="51"/>
  <c r="L202" i="51" l="1"/>
  <c r="X201" i="51"/>
  <c r="O11" i="51"/>
  <c r="Q194" i="51"/>
  <c r="O195" i="51"/>
  <c r="T194" i="51"/>
  <c r="C195" i="51"/>
  <c r="V195" i="51"/>
  <c r="G196" i="51"/>
  <c r="U194" i="51"/>
  <c r="E195" i="51"/>
  <c r="I196" i="51"/>
  <c r="W195" i="51"/>
  <c r="N193" i="51"/>
  <c r="T195" i="51" l="1"/>
  <c r="C196" i="51"/>
  <c r="W196" i="51"/>
  <c r="I197" i="51"/>
  <c r="E196" i="51"/>
  <c r="U195" i="51"/>
  <c r="N194" i="51"/>
  <c r="V196" i="51"/>
  <c r="G197" i="51"/>
  <c r="Q195" i="51"/>
  <c r="O196" i="51"/>
  <c r="L203" i="51"/>
  <c r="X202" i="51"/>
  <c r="Q196" i="51" l="1"/>
  <c r="O197" i="51"/>
  <c r="G198" i="51"/>
  <c r="V197" i="51"/>
  <c r="L204" i="51"/>
  <c r="X203" i="51"/>
  <c r="E197" i="51"/>
  <c r="U196" i="51"/>
  <c r="T196" i="51"/>
  <c r="N196" i="51" s="1"/>
  <c r="C197" i="51"/>
  <c r="W197" i="51"/>
  <c r="I198" i="51"/>
  <c r="N195" i="51"/>
  <c r="G201" i="51" l="1"/>
  <c r="V198" i="51"/>
  <c r="V199" i="51" s="1"/>
  <c r="Q197" i="51"/>
  <c r="O198" i="51"/>
  <c r="E198" i="51"/>
  <c r="U197" i="51"/>
  <c r="L205" i="51"/>
  <c r="X204" i="51"/>
  <c r="T197" i="51"/>
  <c r="C198" i="51"/>
  <c r="W198" i="51"/>
  <c r="W199" i="51" s="1"/>
  <c r="I201" i="51"/>
  <c r="T198" i="51" l="1"/>
  <c r="C201" i="51"/>
  <c r="W201" i="51"/>
  <c r="I202" i="51"/>
  <c r="L206" i="51"/>
  <c r="X205" i="51"/>
  <c r="N197" i="51"/>
  <c r="E201" i="51"/>
  <c r="U198" i="51"/>
  <c r="U199" i="51" s="1"/>
  <c r="G202" i="51"/>
  <c r="V201" i="51"/>
  <c r="Q198" i="51"/>
  <c r="Q199" i="51" s="1"/>
  <c r="N4" i="51" s="1"/>
  <c r="N6" i="51" s="1"/>
  <c r="O201" i="51"/>
  <c r="U201" i="51" l="1"/>
  <c r="E202" i="51"/>
  <c r="I203" i="51"/>
  <c r="W202" i="51"/>
  <c r="G203" i="51"/>
  <c r="V202" i="51"/>
  <c r="T201" i="51"/>
  <c r="C202" i="51"/>
  <c r="O202" i="51"/>
  <c r="Q201" i="51"/>
  <c r="L207" i="51"/>
  <c r="X206" i="51"/>
  <c r="N198" i="51"/>
  <c r="N199" i="51" s="1"/>
  <c r="S199" i="51" s="1"/>
  <c r="T199" i="51"/>
  <c r="Q202" i="51" l="1"/>
  <c r="O203" i="51"/>
  <c r="G204" i="51"/>
  <c r="V203" i="51"/>
  <c r="W203" i="51"/>
  <c r="I204" i="51"/>
  <c r="C203" i="51"/>
  <c r="T202" i="51"/>
  <c r="E203" i="51"/>
  <c r="U202" i="51"/>
  <c r="L208" i="51"/>
  <c r="X207" i="51"/>
  <c r="N201" i="51"/>
  <c r="U203" i="51" l="1"/>
  <c r="E204" i="51"/>
  <c r="N202" i="51"/>
  <c r="L209" i="51"/>
  <c r="X208" i="51"/>
  <c r="T203" i="51"/>
  <c r="C204" i="51"/>
  <c r="G205" i="51"/>
  <c r="V204" i="51"/>
  <c r="W204" i="51"/>
  <c r="I205" i="51"/>
  <c r="O204" i="51"/>
  <c r="Q203" i="51"/>
  <c r="O205" i="51" l="1"/>
  <c r="Q204" i="51"/>
  <c r="I206" i="51"/>
  <c r="W205" i="51"/>
  <c r="G206" i="51"/>
  <c r="V205" i="51"/>
  <c r="L210" i="51"/>
  <c r="X209" i="51"/>
  <c r="C205" i="51"/>
  <c r="T204" i="51"/>
  <c r="N204" i="51" s="1"/>
  <c r="N203" i="51"/>
  <c r="U204" i="51"/>
  <c r="E205" i="51"/>
  <c r="E206" i="51" l="1"/>
  <c r="U205" i="51"/>
  <c r="T205" i="51"/>
  <c r="N205" i="51" s="1"/>
  <c r="C206" i="51"/>
  <c r="O206" i="51"/>
  <c r="Q205" i="51"/>
  <c r="G207" i="51"/>
  <c r="V206" i="51"/>
  <c r="L211" i="51"/>
  <c r="X210" i="51"/>
  <c r="W206" i="51"/>
  <c r="I207" i="51"/>
  <c r="Q206" i="51" l="1"/>
  <c r="O207" i="51"/>
  <c r="U206" i="51"/>
  <c r="E207" i="51"/>
  <c r="L212" i="51"/>
  <c r="X211" i="51"/>
  <c r="W207" i="51"/>
  <c r="I208" i="51"/>
  <c r="G208" i="51"/>
  <c r="V207" i="51"/>
  <c r="T206" i="51"/>
  <c r="C207" i="51"/>
  <c r="N206" i="51" l="1"/>
  <c r="O208" i="51"/>
  <c r="Q207" i="51"/>
  <c r="L215" i="51"/>
  <c r="X212" i="51"/>
  <c r="X213" i="51" s="1"/>
  <c r="G209" i="51"/>
  <c r="V208" i="51"/>
  <c r="C208" i="51"/>
  <c r="T207" i="51"/>
  <c r="N207" i="51" s="1"/>
  <c r="I209" i="51"/>
  <c r="W208" i="51"/>
  <c r="U207" i="51"/>
  <c r="E208" i="51"/>
  <c r="I210" i="51" l="1"/>
  <c r="W209" i="51"/>
  <c r="V209" i="51"/>
  <c r="G210" i="51"/>
  <c r="Q208" i="51"/>
  <c r="O209" i="51"/>
  <c r="U208" i="51"/>
  <c r="E209" i="51"/>
  <c r="C209" i="51"/>
  <c r="T208" i="51"/>
  <c r="N208" i="51" s="1"/>
  <c r="L216" i="51"/>
  <c r="X215" i="51"/>
  <c r="P11" i="51"/>
  <c r="L217" i="51" l="1"/>
  <c r="X216" i="51"/>
  <c r="U209" i="51"/>
  <c r="E210" i="51"/>
  <c r="G211" i="51"/>
  <c r="V210" i="51"/>
  <c r="C210" i="51"/>
  <c r="T209" i="51"/>
  <c r="N209" i="51" s="1"/>
  <c r="Q209" i="51"/>
  <c r="O210" i="51"/>
  <c r="W210" i="51"/>
  <c r="I211" i="51"/>
  <c r="W211" i="51" l="1"/>
  <c r="I212" i="51"/>
  <c r="U210" i="51"/>
  <c r="E211" i="51"/>
  <c r="T210" i="51"/>
  <c r="C211" i="51"/>
  <c r="Q210" i="51"/>
  <c r="O211" i="51"/>
  <c r="G212" i="51"/>
  <c r="V211" i="51"/>
  <c r="L218" i="51"/>
  <c r="X217" i="51"/>
  <c r="X218" i="51" l="1"/>
  <c r="L219" i="51"/>
  <c r="C212" i="51"/>
  <c r="T211" i="51"/>
  <c r="W212" i="51"/>
  <c r="W213" i="51" s="1"/>
  <c r="I215" i="51"/>
  <c r="G215" i="51"/>
  <c r="V212" i="51"/>
  <c r="V213" i="51" s="1"/>
  <c r="N210" i="51"/>
  <c r="O215" i="51"/>
  <c r="O212" i="51"/>
  <c r="Q212" i="51" s="1"/>
  <c r="Q213" i="51" s="1"/>
  <c r="Q211" i="51"/>
  <c r="E212" i="51"/>
  <c r="U211" i="51"/>
  <c r="G216" i="51" l="1"/>
  <c r="V215" i="51"/>
  <c r="C215" i="51"/>
  <c r="T212" i="51"/>
  <c r="Q215" i="51"/>
  <c r="O216" i="51"/>
  <c r="W215" i="51"/>
  <c r="I216" i="51"/>
  <c r="X219" i="51"/>
  <c r="L220" i="51"/>
  <c r="E215" i="51"/>
  <c r="U212" i="51"/>
  <c r="U213" i="51" s="1"/>
  <c r="N211" i="51"/>
  <c r="I217" i="51" l="1"/>
  <c r="W216" i="51"/>
  <c r="N212" i="51"/>
  <c r="N213" i="51" s="1"/>
  <c r="S213" i="51" s="1"/>
  <c r="T213" i="51"/>
  <c r="T215" i="51"/>
  <c r="C216" i="51"/>
  <c r="L221" i="51"/>
  <c r="X220" i="51"/>
  <c r="U215" i="51"/>
  <c r="E216" i="51"/>
  <c r="Q216" i="51"/>
  <c r="O217" i="51"/>
  <c r="G217" i="51"/>
  <c r="V216" i="51"/>
  <c r="E217" i="51" l="1"/>
  <c r="U216" i="51"/>
  <c r="L222" i="51"/>
  <c r="X221" i="51"/>
  <c r="C217" i="51"/>
  <c r="T216" i="51"/>
  <c r="N216" i="51" s="1"/>
  <c r="G218" i="51"/>
  <c r="V217" i="51"/>
  <c r="Q217" i="51"/>
  <c r="O218" i="51"/>
  <c r="N215" i="51"/>
  <c r="I218" i="51"/>
  <c r="W217" i="51"/>
  <c r="O219" i="51" l="1"/>
  <c r="Q218" i="51"/>
  <c r="L223" i="51"/>
  <c r="X222" i="51"/>
  <c r="I219" i="51"/>
  <c r="W218" i="51"/>
  <c r="T217" i="51"/>
  <c r="C218" i="51"/>
  <c r="E218" i="51"/>
  <c r="U217" i="51"/>
  <c r="G219" i="51"/>
  <c r="V218" i="51"/>
  <c r="V219" i="51" l="1"/>
  <c r="G220" i="51"/>
  <c r="T218" i="51"/>
  <c r="C219" i="51"/>
  <c r="W219" i="51"/>
  <c r="I220" i="51"/>
  <c r="O220" i="51"/>
  <c r="Q219" i="51"/>
  <c r="N217" i="51"/>
  <c r="U218" i="51"/>
  <c r="E219" i="51"/>
  <c r="L224" i="51"/>
  <c r="X223" i="51"/>
  <c r="Q220" i="51" l="1"/>
  <c r="O221" i="51"/>
  <c r="I221" i="51"/>
  <c r="W220" i="51"/>
  <c r="V220" i="51"/>
  <c r="G221" i="51"/>
  <c r="X224" i="51"/>
  <c r="L225" i="51"/>
  <c r="E220" i="51"/>
  <c r="U219" i="51"/>
  <c r="T219" i="51"/>
  <c r="C220" i="51"/>
  <c r="N218" i="51"/>
  <c r="X225" i="51" l="1"/>
  <c r="L226" i="51"/>
  <c r="N219" i="51"/>
  <c r="U220" i="51"/>
  <c r="E221" i="51"/>
  <c r="W221" i="51"/>
  <c r="I222" i="51"/>
  <c r="V221" i="51"/>
  <c r="G222" i="51"/>
  <c r="O222" i="51"/>
  <c r="Q221" i="51"/>
  <c r="T220" i="51"/>
  <c r="N220" i="51" s="1"/>
  <c r="C221" i="51"/>
  <c r="O223" i="51" l="1"/>
  <c r="Q222" i="51"/>
  <c r="T221" i="51"/>
  <c r="C222" i="51"/>
  <c r="G223" i="51"/>
  <c r="V222" i="51"/>
  <c r="L229" i="51"/>
  <c r="X226" i="51"/>
  <c r="X227" i="51" s="1"/>
  <c r="U221" i="51"/>
  <c r="E222" i="51"/>
  <c r="W222" i="51"/>
  <c r="I223" i="51"/>
  <c r="T222" i="51" l="1"/>
  <c r="C223" i="51"/>
  <c r="X229" i="51"/>
  <c r="L230" i="51"/>
  <c r="Q11" i="51"/>
  <c r="N221" i="51"/>
  <c r="I224" i="51"/>
  <c r="W223" i="51"/>
  <c r="E223" i="51"/>
  <c r="U222" i="51"/>
  <c r="G224" i="51"/>
  <c r="V223" i="51"/>
  <c r="O224" i="51"/>
  <c r="Q223" i="51"/>
  <c r="V224" i="51" l="1"/>
  <c r="G225" i="51"/>
  <c r="W224" i="51"/>
  <c r="I225" i="51"/>
  <c r="L231" i="51"/>
  <c r="X230" i="51"/>
  <c r="Q224" i="51"/>
  <c r="O225" i="51"/>
  <c r="U223" i="51"/>
  <c r="E224" i="51"/>
  <c r="C224" i="51"/>
  <c r="T223" i="51"/>
  <c r="N222" i="51"/>
  <c r="I226" i="51" l="1"/>
  <c r="W225" i="51"/>
  <c r="T224" i="51"/>
  <c r="C225" i="51"/>
  <c r="V225" i="51"/>
  <c r="G226" i="51"/>
  <c r="E225" i="51"/>
  <c r="U224" i="51"/>
  <c r="N223" i="51"/>
  <c r="Q225" i="51"/>
  <c r="O229" i="51"/>
  <c r="O226" i="51"/>
  <c r="Q226" i="51" s="1"/>
  <c r="Q227" i="51" s="1"/>
  <c r="X231" i="51"/>
  <c r="L232" i="51"/>
  <c r="L233" i="51" l="1"/>
  <c r="X232" i="51"/>
  <c r="U225" i="51"/>
  <c r="E226" i="51"/>
  <c r="N224" i="51"/>
  <c r="G229" i="51"/>
  <c r="V226" i="51"/>
  <c r="V227" i="51" s="1"/>
  <c r="I229" i="51"/>
  <c r="W226" i="51"/>
  <c r="W227" i="51" s="1"/>
  <c r="O230" i="51"/>
  <c r="Q229" i="51"/>
  <c r="T225" i="51"/>
  <c r="N225" i="51" s="1"/>
  <c r="C226" i="51"/>
  <c r="O231" i="51" l="1"/>
  <c r="Q230" i="51"/>
  <c r="V229" i="51"/>
  <c r="G230" i="51"/>
  <c r="L234" i="51"/>
  <c r="X233" i="51"/>
  <c r="T226" i="51"/>
  <c r="C229" i="51"/>
  <c r="I230" i="51"/>
  <c r="W229" i="51"/>
  <c r="U226" i="51"/>
  <c r="U227" i="51" s="1"/>
  <c r="E229" i="51"/>
  <c r="N226" i="51" l="1"/>
  <c r="N227" i="51" s="1"/>
  <c r="S227" i="51" s="1"/>
  <c r="T227" i="51"/>
  <c r="W230" i="51"/>
  <c r="I231" i="51"/>
  <c r="L235" i="51"/>
  <c r="X234" i="51"/>
  <c r="O232" i="51"/>
  <c r="Q231" i="51"/>
  <c r="U229" i="51"/>
  <c r="E230" i="51"/>
  <c r="T229" i="51"/>
  <c r="C230" i="51"/>
  <c r="V230" i="51"/>
  <c r="G231" i="51"/>
  <c r="X235" i="51" l="1"/>
  <c r="L236" i="51"/>
  <c r="C231" i="51"/>
  <c r="T230" i="51"/>
  <c r="N230" i="51" s="1"/>
  <c r="W231" i="51"/>
  <c r="I232" i="51"/>
  <c r="N229" i="51"/>
  <c r="O233" i="51"/>
  <c r="Q232" i="51"/>
  <c r="G232" i="51"/>
  <c r="V231" i="51"/>
  <c r="U230" i="51"/>
  <c r="E231" i="51"/>
  <c r="V232" i="51" l="1"/>
  <c r="G233" i="51"/>
  <c r="C232" i="51"/>
  <c r="T231" i="51"/>
  <c r="E232" i="51"/>
  <c r="U231" i="51"/>
  <c r="W232" i="51"/>
  <c r="I233" i="51"/>
  <c r="X236" i="51"/>
  <c r="L237" i="51"/>
  <c r="Q233" i="51"/>
  <c r="O234" i="51"/>
  <c r="I234" i="51" l="1"/>
  <c r="W233" i="51"/>
  <c r="O235" i="51"/>
  <c r="Q234" i="51"/>
  <c r="U232" i="51"/>
  <c r="E233" i="51"/>
  <c r="N231" i="51"/>
  <c r="X237" i="51"/>
  <c r="L238" i="51"/>
  <c r="T232" i="51"/>
  <c r="N232" i="51" s="1"/>
  <c r="C233" i="51"/>
  <c r="G234" i="51"/>
  <c r="V233" i="51"/>
  <c r="O236" i="51" l="1"/>
  <c r="Q235" i="51"/>
  <c r="X238" i="51"/>
  <c r="L239" i="51"/>
  <c r="E234" i="51"/>
  <c r="U233" i="51"/>
  <c r="G235" i="51"/>
  <c r="V234" i="51"/>
  <c r="W234" i="51"/>
  <c r="I235" i="51"/>
  <c r="C234" i="51"/>
  <c r="T233" i="51"/>
  <c r="N233" i="51" s="1"/>
  <c r="T234" i="51" l="1"/>
  <c r="C235" i="51"/>
  <c r="L240" i="51"/>
  <c r="X239" i="51"/>
  <c r="W235" i="51"/>
  <c r="I236" i="51"/>
  <c r="G236" i="51"/>
  <c r="V235" i="51"/>
  <c r="U234" i="51"/>
  <c r="E235" i="51"/>
  <c r="O237" i="51"/>
  <c r="Q236" i="51"/>
  <c r="G237" i="51" l="1"/>
  <c r="V236" i="51"/>
  <c r="E236" i="51"/>
  <c r="U235" i="51"/>
  <c r="I237" i="51"/>
  <c r="W236" i="51"/>
  <c r="T235" i="51"/>
  <c r="N235" i="51" s="1"/>
  <c r="C236" i="51"/>
  <c r="O238" i="51"/>
  <c r="Q237" i="51"/>
  <c r="L243" i="51"/>
  <c r="X240" i="51"/>
  <c r="X241" i="51" s="1"/>
  <c r="N234" i="51"/>
  <c r="C237" i="51" l="1"/>
  <c r="T236" i="51"/>
  <c r="U236" i="51"/>
  <c r="E237" i="51"/>
  <c r="X243" i="51"/>
  <c r="L244" i="51"/>
  <c r="R11" i="51"/>
  <c r="O239" i="51"/>
  <c r="Q238" i="51"/>
  <c r="W237" i="51"/>
  <c r="I238" i="51"/>
  <c r="G238" i="51"/>
  <c r="V237" i="51"/>
  <c r="U237" i="51" l="1"/>
  <c r="E238" i="51"/>
  <c r="X244" i="51"/>
  <c r="L245" i="51"/>
  <c r="V238" i="51"/>
  <c r="G239" i="51"/>
  <c r="Q239" i="51"/>
  <c r="O240" i="51"/>
  <c r="Q240" i="51" s="1"/>
  <c r="Q241" i="51" s="1"/>
  <c r="O243" i="51"/>
  <c r="N236" i="51"/>
  <c r="I239" i="51"/>
  <c r="W238" i="51"/>
  <c r="T237" i="51"/>
  <c r="N237" i="51" s="1"/>
  <c r="C238" i="51"/>
  <c r="L246" i="51" l="1"/>
  <c r="X245" i="51"/>
  <c r="T238" i="51"/>
  <c r="C239" i="51"/>
  <c r="G240" i="51"/>
  <c r="V239" i="51"/>
  <c r="E239" i="51"/>
  <c r="U238" i="51"/>
  <c r="I240" i="51"/>
  <c r="W239" i="51"/>
  <c r="O244" i="51"/>
  <c r="Q243" i="51"/>
  <c r="Q244" i="51" l="1"/>
  <c r="O245" i="51"/>
  <c r="N238" i="51"/>
  <c r="E240" i="51"/>
  <c r="U239" i="51"/>
  <c r="W240" i="51"/>
  <c r="W241" i="51" s="1"/>
  <c r="I243" i="51"/>
  <c r="G243" i="51"/>
  <c r="V240" i="51"/>
  <c r="V241" i="51" s="1"/>
  <c r="X246" i="51"/>
  <c r="L247" i="51"/>
  <c r="T239" i="51"/>
  <c r="N239" i="51" s="1"/>
  <c r="C240" i="51"/>
  <c r="L248" i="51" l="1"/>
  <c r="X247" i="51"/>
  <c r="W243" i="51"/>
  <c r="I244" i="51"/>
  <c r="O246" i="51"/>
  <c r="Q245" i="51"/>
  <c r="C243" i="51"/>
  <c r="T240" i="51"/>
  <c r="G244" i="51"/>
  <c r="V243" i="51"/>
  <c r="E243" i="51"/>
  <c r="U240" i="51"/>
  <c r="U241" i="51" s="1"/>
  <c r="N240" i="51" l="1"/>
  <c r="N241" i="51" s="1"/>
  <c r="S241" i="51" s="1"/>
  <c r="T241" i="51"/>
  <c r="I245" i="51"/>
  <c r="W244" i="51"/>
  <c r="U243" i="51"/>
  <c r="E244" i="51"/>
  <c r="C244" i="51"/>
  <c r="T243" i="51"/>
  <c r="V244" i="51"/>
  <c r="G245" i="51"/>
  <c r="Q246" i="51"/>
  <c r="O247" i="51"/>
  <c r="L249" i="51"/>
  <c r="X248" i="51"/>
  <c r="G246" i="51" l="1"/>
  <c r="V245" i="51"/>
  <c r="X249" i="51"/>
  <c r="L250" i="51"/>
  <c r="I246" i="51"/>
  <c r="W245" i="51"/>
  <c r="O248" i="51"/>
  <c r="Q247" i="51"/>
  <c r="N243" i="51"/>
  <c r="E245" i="51"/>
  <c r="U244" i="51"/>
  <c r="T244" i="51"/>
  <c r="N244" i="51" s="1"/>
  <c r="C245" i="51"/>
  <c r="W246" i="51" l="1"/>
  <c r="I247" i="51"/>
  <c r="V246" i="51"/>
  <c r="G247" i="51"/>
  <c r="X250" i="51"/>
  <c r="L251" i="51"/>
  <c r="E246" i="51"/>
  <c r="U245" i="51"/>
  <c r="O249" i="51"/>
  <c r="Q248" i="51"/>
  <c r="C246" i="51"/>
  <c r="T245" i="51"/>
  <c r="N245" i="51" s="1"/>
  <c r="Q249" i="51" l="1"/>
  <c r="O250" i="51"/>
  <c r="G248" i="51"/>
  <c r="V247" i="51"/>
  <c r="E247" i="51"/>
  <c r="U246" i="51"/>
  <c r="C247" i="51"/>
  <c r="T246" i="51"/>
  <c r="L252" i="51"/>
  <c r="X251" i="51"/>
  <c r="I248" i="51"/>
  <c r="W247" i="51"/>
  <c r="N246" i="51" l="1"/>
  <c r="U247" i="51"/>
  <c r="E248" i="51"/>
  <c r="L253" i="51"/>
  <c r="X252" i="51"/>
  <c r="Q250" i="51"/>
  <c r="O251" i="51"/>
  <c r="W248" i="51"/>
  <c r="I249" i="51"/>
  <c r="T247" i="51"/>
  <c r="N247" i="51" s="1"/>
  <c r="C248" i="51"/>
  <c r="V248" i="51"/>
  <c r="G249" i="51"/>
  <c r="V249" i="51" l="1"/>
  <c r="G250" i="51"/>
  <c r="T248" i="51"/>
  <c r="C249" i="51"/>
  <c r="Q251" i="51"/>
  <c r="O252" i="51"/>
  <c r="U248" i="51"/>
  <c r="E249" i="51"/>
  <c r="W249" i="51"/>
  <c r="I250" i="51"/>
  <c r="L254" i="51"/>
  <c r="X253" i="51"/>
  <c r="L257" i="51" l="1"/>
  <c r="X254" i="51"/>
  <c r="X255" i="51" s="1"/>
  <c r="E250" i="51"/>
  <c r="U249" i="51"/>
  <c r="T249" i="51"/>
  <c r="C250" i="51"/>
  <c r="N248" i="51"/>
  <c r="W250" i="51"/>
  <c r="I251" i="51"/>
  <c r="O253" i="51"/>
  <c r="Q252" i="51"/>
  <c r="G251" i="51"/>
  <c r="V250" i="51"/>
  <c r="E251" i="51" l="1"/>
  <c r="U250" i="51"/>
  <c r="Q253" i="51"/>
  <c r="O257" i="51"/>
  <c r="O254" i="51"/>
  <c r="Q254" i="51" s="1"/>
  <c r="V251" i="51"/>
  <c r="G252" i="51"/>
  <c r="C251" i="51"/>
  <c r="T250" i="51"/>
  <c r="N250" i="51" s="1"/>
  <c r="W251" i="51"/>
  <c r="I252" i="51"/>
  <c r="N249" i="51"/>
  <c r="S11" i="51"/>
  <c r="X257" i="51"/>
  <c r="L258" i="51"/>
  <c r="X258" i="51" l="1"/>
  <c r="L259" i="51"/>
  <c r="T251" i="51"/>
  <c r="C252" i="51"/>
  <c r="O258" i="51"/>
  <c r="Q257" i="51"/>
  <c r="W252" i="51"/>
  <c r="I253" i="51"/>
  <c r="G253" i="51"/>
  <c r="V252" i="51"/>
  <c r="Q255" i="51"/>
  <c r="U251" i="51"/>
  <c r="E252" i="51"/>
  <c r="U252" i="51" l="1"/>
  <c r="E253" i="51"/>
  <c r="W253" i="51"/>
  <c r="I254" i="51"/>
  <c r="T252" i="51"/>
  <c r="N252" i="51" s="1"/>
  <c r="C253" i="51"/>
  <c r="N251" i="51"/>
  <c r="X259" i="51"/>
  <c r="L260" i="51"/>
  <c r="G254" i="51"/>
  <c r="V253" i="51"/>
  <c r="Q258" i="51"/>
  <c r="O259" i="51"/>
  <c r="W254" i="51" l="1"/>
  <c r="W255" i="51" s="1"/>
  <c r="I257" i="51"/>
  <c r="G257" i="51"/>
  <c r="V254" i="51"/>
  <c r="V255" i="51" s="1"/>
  <c r="Q259" i="51"/>
  <c r="O260" i="51"/>
  <c r="L261" i="51"/>
  <c r="X260" i="51"/>
  <c r="C254" i="51"/>
  <c r="T253" i="51"/>
  <c r="N253" i="51" s="1"/>
  <c r="E254" i="51"/>
  <c r="U253" i="51"/>
  <c r="V257" i="51" l="1"/>
  <c r="G258" i="51"/>
  <c r="W257" i="51"/>
  <c r="I258" i="51"/>
  <c r="E257" i="51"/>
  <c r="U254" i="51"/>
  <c r="U255" i="51" s="1"/>
  <c r="Q260" i="51"/>
  <c r="O261" i="51"/>
  <c r="C257" i="51"/>
  <c r="T254" i="51"/>
  <c r="X261" i="51"/>
  <c r="L262" i="51"/>
  <c r="X262" i="51" l="1"/>
  <c r="L263" i="51"/>
  <c r="N254" i="51"/>
  <c r="N255" i="51" s="1"/>
  <c r="S255" i="51" s="1"/>
  <c r="T255" i="51"/>
  <c r="G259" i="51"/>
  <c r="V258" i="51"/>
  <c r="E258" i="51"/>
  <c r="U257" i="51"/>
  <c r="C258" i="51"/>
  <c r="T257" i="51"/>
  <c r="O262" i="51"/>
  <c r="Q261" i="51"/>
  <c r="W258" i="51"/>
  <c r="I259" i="51"/>
  <c r="I260" i="51" l="1"/>
  <c r="W259" i="51"/>
  <c r="U258" i="51"/>
  <c r="E259" i="51"/>
  <c r="T258" i="51"/>
  <c r="N258" i="51" s="1"/>
  <c r="C259" i="51"/>
  <c r="L264" i="51"/>
  <c r="X263" i="51"/>
  <c r="N257" i="51"/>
  <c r="G260" i="51"/>
  <c r="V259" i="51"/>
  <c r="Q262" i="51"/>
  <c r="O263" i="51"/>
  <c r="T259" i="51" l="1"/>
  <c r="C260" i="51"/>
  <c r="W260" i="51"/>
  <c r="I261" i="51"/>
  <c r="O264" i="51"/>
  <c r="Q263" i="51"/>
  <c r="U259" i="51"/>
  <c r="E260" i="51"/>
  <c r="G261" i="51"/>
  <c r="V260" i="51"/>
  <c r="X264" i="51"/>
  <c r="L265" i="51"/>
  <c r="N259" i="51" l="1"/>
  <c r="X265" i="51"/>
  <c r="L266" i="51"/>
  <c r="U260" i="51"/>
  <c r="E261" i="51"/>
  <c r="W261" i="51"/>
  <c r="I262" i="51"/>
  <c r="V261" i="51"/>
  <c r="G262" i="51"/>
  <c r="Q264" i="51"/>
  <c r="O265" i="51"/>
  <c r="C261" i="51"/>
  <c r="T260" i="51"/>
  <c r="N260" i="51" s="1"/>
  <c r="Q265" i="51" l="1"/>
  <c r="O266" i="51"/>
  <c r="X266" i="51"/>
  <c r="L267" i="51"/>
  <c r="W262" i="51"/>
  <c r="I263" i="51"/>
  <c r="C262" i="51"/>
  <c r="T261" i="51"/>
  <c r="N261" i="51" s="1"/>
  <c r="V262" i="51"/>
  <c r="G263" i="51"/>
  <c r="U261" i="51"/>
  <c r="E262" i="51"/>
  <c r="X267" i="51" l="1"/>
  <c r="L268" i="51"/>
  <c r="C263" i="51"/>
  <c r="T262" i="51"/>
  <c r="W263" i="51"/>
  <c r="I264" i="51"/>
  <c r="O267" i="51"/>
  <c r="Q266" i="51"/>
  <c r="E263" i="51"/>
  <c r="U262" i="51"/>
  <c r="G264" i="51"/>
  <c r="V263" i="51"/>
  <c r="I265" i="51" l="1"/>
  <c r="W264" i="51"/>
  <c r="T263" i="51"/>
  <c r="C264" i="51"/>
  <c r="U263" i="51"/>
  <c r="E264" i="51"/>
  <c r="X268" i="51"/>
  <c r="X269" i="51" s="1"/>
  <c r="L271" i="51"/>
  <c r="G265" i="51"/>
  <c r="V264" i="51"/>
  <c r="O268" i="51"/>
  <c r="Q268" i="51" s="1"/>
  <c r="Q267" i="51"/>
  <c r="O271" i="51"/>
  <c r="N262" i="51"/>
  <c r="Q269" i="51" l="1"/>
  <c r="T11" i="51"/>
  <c r="X271" i="51"/>
  <c r="L272" i="51"/>
  <c r="C265" i="51"/>
  <c r="T264" i="51"/>
  <c r="N263" i="51"/>
  <c r="U264" i="51"/>
  <c r="E265" i="51"/>
  <c r="Q271" i="51"/>
  <c r="O272" i="51"/>
  <c r="G266" i="51"/>
  <c r="V265" i="51"/>
  <c r="I266" i="51"/>
  <c r="W265" i="51"/>
  <c r="V266" i="51" l="1"/>
  <c r="G267" i="51"/>
  <c r="C266" i="51"/>
  <c r="T265" i="51"/>
  <c r="N265" i="51" s="1"/>
  <c r="L273" i="51"/>
  <c r="X272" i="51"/>
  <c r="Q272" i="51"/>
  <c r="O273" i="51"/>
  <c r="I267" i="51"/>
  <c r="W266" i="51"/>
  <c r="E266" i="51"/>
  <c r="U265" i="51"/>
  <c r="N264" i="51"/>
  <c r="T266" i="51" l="1"/>
  <c r="C267" i="51"/>
  <c r="I268" i="51"/>
  <c r="W267" i="51"/>
  <c r="Q273" i="51"/>
  <c r="O274" i="51"/>
  <c r="V267" i="51"/>
  <c r="G268" i="51"/>
  <c r="E267" i="51"/>
  <c r="U266" i="51"/>
  <c r="L274" i="51"/>
  <c r="X273" i="51"/>
  <c r="E268" i="51" l="1"/>
  <c r="U267" i="51"/>
  <c r="G271" i="51"/>
  <c r="V268" i="51"/>
  <c r="V269" i="51" s="1"/>
  <c r="L275" i="51"/>
  <c r="X274" i="51"/>
  <c r="I271" i="51"/>
  <c r="W268" i="51"/>
  <c r="W269" i="51" s="1"/>
  <c r="O275" i="51"/>
  <c r="Q274" i="51"/>
  <c r="C268" i="51"/>
  <c r="T267" i="51"/>
  <c r="N267" i="51" s="1"/>
  <c r="N266" i="51"/>
  <c r="C271" i="51" l="1"/>
  <c r="T268" i="51"/>
  <c r="W271" i="51"/>
  <c r="I272" i="51"/>
  <c r="V271" i="51"/>
  <c r="G272" i="51"/>
  <c r="Q275" i="51"/>
  <c r="O276" i="51"/>
  <c r="L276" i="51"/>
  <c r="X275" i="51"/>
  <c r="U268" i="51"/>
  <c r="U269" i="51" s="1"/>
  <c r="E271" i="51"/>
  <c r="V272" i="51" l="1"/>
  <c r="G273" i="51"/>
  <c r="N268" i="51"/>
  <c r="N269" i="51" s="1"/>
  <c r="S269" i="51" s="1"/>
  <c r="T269" i="51"/>
  <c r="L277" i="51"/>
  <c r="X276" i="51"/>
  <c r="T271" i="51"/>
  <c r="C272" i="51"/>
  <c r="E272" i="51"/>
  <c r="U271" i="51"/>
  <c r="Q276" i="51"/>
  <c r="O277" i="51"/>
  <c r="W272" i="51"/>
  <c r="I273" i="51"/>
  <c r="N271" i="51" l="1"/>
  <c r="W273" i="51"/>
  <c r="I274" i="51"/>
  <c r="G274" i="51"/>
  <c r="V273" i="51"/>
  <c r="E273" i="51"/>
  <c r="U272" i="51"/>
  <c r="O278" i="51"/>
  <c r="Q277" i="51"/>
  <c r="T272" i="51"/>
  <c r="N272" i="51" s="1"/>
  <c r="C273" i="51"/>
  <c r="L278" i="51"/>
  <c r="X277" i="51"/>
  <c r="E274" i="51" l="1"/>
  <c r="U273" i="51"/>
  <c r="I275" i="51"/>
  <c r="W274" i="51"/>
  <c r="X278" i="51"/>
  <c r="L279" i="51"/>
  <c r="Q278" i="51"/>
  <c r="O279" i="51"/>
  <c r="T273" i="51"/>
  <c r="N273" i="51" s="1"/>
  <c r="C274" i="51"/>
  <c r="G275" i="51"/>
  <c r="V274" i="51"/>
  <c r="W275" i="51" l="1"/>
  <c r="I276" i="51"/>
  <c r="V275" i="51"/>
  <c r="G276" i="51"/>
  <c r="X279" i="51"/>
  <c r="L280" i="51"/>
  <c r="C275" i="51"/>
  <c r="T274" i="51"/>
  <c r="Q279" i="51"/>
  <c r="O280" i="51"/>
  <c r="E275" i="51"/>
  <c r="U274" i="51"/>
  <c r="N274" i="51" l="1"/>
  <c r="G277" i="51"/>
  <c r="V276" i="51"/>
  <c r="E276" i="51"/>
  <c r="U275" i="51"/>
  <c r="C276" i="51"/>
  <c r="T275" i="51"/>
  <c r="N275" i="51" s="1"/>
  <c r="O281" i="51"/>
  <c r="Q280" i="51"/>
  <c r="X280" i="51"/>
  <c r="L281" i="51"/>
  <c r="W276" i="51"/>
  <c r="I277" i="51"/>
  <c r="C277" i="51" l="1"/>
  <c r="T276" i="51"/>
  <c r="X281" i="51"/>
  <c r="L282" i="51"/>
  <c r="W277" i="51"/>
  <c r="I278" i="51"/>
  <c r="V277" i="51"/>
  <c r="G278" i="51"/>
  <c r="O282" i="51"/>
  <c r="Q282" i="51" s="1"/>
  <c r="O285" i="51"/>
  <c r="Q281" i="51"/>
  <c r="U276" i="51"/>
  <c r="E277" i="51"/>
  <c r="Q285" i="51" l="1"/>
  <c r="O286" i="51"/>
  <c r="I279" i="51"/>
  <c r="W278" i="51"/>
  <c r="N276" i="51"/>
  <c r="G279" i="51"/>
  <c r="V278" i="51"/>
  <c r="U277" i="51"/>
  <c r="E278" i="51"/>
  <c r="Q283" i="51"/>
  <c r="C278" i="51"/>
  <c r="T277" i="51"/>
  <c r="N277" i="51" s="1"/>
  <c r="L285" i="51"/>
  <c r="X282" i="51"/>
  <c r="X283" i="51" s="1"/>
  <c r="T278" i="51" l="1"/>
  <c r="C279" i="51"/>
  <c r="W279" i="51"/>
  <c r="I280" i="51"/>
  <c r="V279" i="51"/>
  <c r="G280" i="51"/>
  <c r="O287" i="51"/>
  <c r="Q286" i="51"/>
  <c r="X285" i="51"/>
  <c r="L286" i="51"/>
  <c r="E279" i="51"/>
  <c r="U278" i="51"/>
  <c r="I281" i="51" l="1"/>
  <c r="W280" i="51"/>
  <c r="E280" i="51"/>
  <c r="U279" i="51"/>
  <c r="L287" i="51"/>
  <c r="X286" i="51"/>
  <c r="G281" i="51"/>
  <c r="V280" i="51"/>
  <c r="T279" i="51"/>
  <c r="N279" i="51" s="1"/>
  <c r="C280" i="51"/>
  <c r="Q287" i="51"/>
  <c r="O288" i="51"/>
  <c r="N278" i="51"/>
  <c r="V281" i="51" l="1"/>
  <c r="G282" i="51"/>
  <c r="E281" i="51"/>
  <c r="U280" i="51"/>
  <c r="X287" i="51"/>
  <c r="L288" i="51"/>
  <c r="I282" i="51"/>
  <c r="W281" i="51"/>
  <c r="T280" i="51"/>
  <c r="C281" i="51"/>
  <c r="Q288" i="51"/>
  <c r="O289" i="51"/>
  <c r="E282" i="51" l="1"/>
  <c r="U281" i="51"/>
  <c r="L289" i="51"/>
  <c r="X288" i="51"/>
  <c r="V282" i="51"/>
  <c r="V283" i="51" s="1"/>
  <c r="G285" i="51"/>
  <c r="W282" i="51"/>
  <c r="W283" i="51" s="1"/>
  <c r="I285" i="51"/>
  <c r="C282" i="51"/>
  <c r="T281" i="51"/>
  <c r="N281" i="51" s="1"/>
  <c r="N280" i="51"/>
  <c r="Q289" i="51"/>
  <c r="O290" i="51"/>
  <c r="X289" i="51" l="1"/>
  <c r="L290" i="51"/>
  <c r="G286" i="51"/>
  <c r="V285" i="51"/>
  <c r="O291" i="51"/>
  <c r="Q290" i="51"/>
  <c r="C285" i="51"/>
  <c r="T282" i="51"/>
  <c r="E285" i="51"/>
  <c r="U282" i="51"/>
  <c r="U283" i="51" s="1"/>
  <c r="W285" i="51"/>
  <c r="I286" i="51"/>
  <c r="N282" i="51" l="1"/>
  <c r="N283" i="51" s="1"/>
  <c r="S283" i="51" s="1"/>
  <c r="T283" i="51"/>
  <c r="G287" i="51"/>
  <c r="V286" i="51"/>
  <c r="I287" i="51"/>
  <c r="W286" i="51"/>
  <c r="T285" i="51"/>
  <c r="C286" i="51"/>
  <c r="L291" i="51"/>
  <c r="X290" i="51"/>
  <c r="E286" i="51"/>
  <c r="U285" i="51"/>
  <c r="Q291" i="51"/>
  <c r="O292" i="51"/>
  <c r="Q292" i="51" l="1"/>
  <c r="O293" i="51"/>
  <c r="N285" i="51"/>
  <c r="G288" i="51"/>
  <c r="V287" i="51"/>
  <c r="L292" i="51"/>
  <c r="X291" i="51"/>
  <c r="W287" i="51"/>
  <c r="I288" i="51"/>
  <c r="E287" i="51"/>
  <c r="U286" i="51"/>
  <c r="C287" i="51"/>
  <c r="T286" i="51"/>
  <c r="N286" i="51" s="1"/>
  <c r="T287" i="51" l="1"/>
  <c r="C288" i="51"/>
  <c r="O294" i="51"/>
  <c r="Q293" i="51"/>
  <c r="L293" i="51"/>
  <c r="X292" i="51"/>
  <c r="W288" i="51"/>
  <c r="I289" i="51"/>
  <c r="V288" i="51"/>
  <c r="G289" i="51"/>
  <c r="U287" i="51"/>
  <c r="E288" i="51"/>
  <c r="X293" i="51" l="1"/>
  <c r="L294" i="51"/>
  <c r="C289" i="51"/>
  <c r="T288" i="51"/>
  <c r="G290" i="51"/>
  <c r="V289" i="51"/>
  <c r="E289" i="51"/>
  <c r="U288" i="51"/>
  <c r="W289" i="51"/>
  <c r="I290" i="51"/>
  <c r="N287" i="51"/>
  <c r="O295" i="51"/>
  <c r="Q294" i="51"/>
  <c r="U289" i="51" l="1"/>
  <c r="E290" i="51"/>
  <c r="C290" i="51"/>
  <c r="T289" i="51"/>
  <c r="I291" i="51"/>
  <c r="W290" i="51"/>
  <c r="L295" i="51"/>
  <c r="X294" i="51"/>
  <c r="Q295" i="51"/>
  <c r="O296" i="51"/>
  <c r="Q296" i="51" s="1"/>
  <c r="V290" i="51"/>
  <c r="G291" i="51"/>
  <c r="N288" i="51"/>
  <c r="Q297" i="51" l="1"/>
  <c r="O4" i="51" s="1"/>
  <c r="O6" i="51" s="1"/>
  <c r="E291" i="51"/>
  <c r="U290" i="51"/>
  <c r="I292" i="51"/>
  <c r="W291" i="51"/>
  <c r="G292" i="51"/>
  <c r="V291" i="51"/>
  <c r="N289" i="51"/>
  <c r="R4" i="51"/>
  <c r="R6" i="51" s="1"/>
  <c r="Q299" i="51"/>
  <c r="T4" i="51"/>
  <c r="T6" i="51" s="1"/>
  <c r="U4" i="51"/>
  <c r="Q4" i="51"/>
  <c r="Q6" i="51" s="1"/>
  <c r="P4" i="51"/>
  <c r="P6" i="51" s="1"/>
  <c r="X295" i="51"/>
  <c r="L296" i="51"/>
  <c r="T290" i="51"/>
  <c r="C291" i="51"/>
  <c r="S4" i="51" l="1"/>
  <c r="S6" i="51" s="1"/>
  <c r="W292" i="51"/>
  <c r="I293" i="51"/>
  <c r="C292" i="51"/>
  <c r="T291" i="51"/>
  <c r="N290" i="51"/>
  <c r="L297" i="51"/>
  <c r="X296" i="51"/>
  <c r="X297" i="51" s="1"/>
  <c r="X299" i="51" s="1"/>
  <c r="U6" i="51"/>
  <c r="V6" i="51" s="1"/>
  <c r="V4" i="51"/>
  <c r="V292" i="51"/>
  <c r="G293" i="51"/>
  <c r="E292" i="51"/>
  <c r="U291" i="51"/>
  <c r="N291" i="51" l="1"/>
  <c r="G294" i="51"/>
  <c r="V293" i="51"/>
  <c r="T292" i="51"/>
  <c r="N292" i="51" s="1"/>
  <c r="C293" i="51"/>
  <c r="I294" i="51"/>
  <c r="W293" i="51"/>
  <c r="U292" i="51"/>
  <c r="E293" i="51"/>
  <c r="U293" i="51" l="1"/>
  <c r="E294" i="51"/>
  <c r="W294" i="51"/>
  <c r="I295" i="51"/>
  <c r="G295" i="51"/>
  <c r="V294" i="51"/>
  <c r="T293" i="51"/>
  <c r="N293" i="51" s="1"/>
  <c r="C294" i="51"/>
  <c r="C295" i="51" l="1"/>
  <c r="T294" i="51"/>
  <c r="N294" i="51" s="1"/>
  <c r="I296" i="51"/>
  <c r="W295" i="51"/>
  <c r="E295" i="51"/>
  <c r="U294" i="51"/>
  <c r="V295" i="51"/>
  <c r="G296" i="51"/>
  <c r="G297" i="51" l="1"/>
  <c r="V296" i="51"/>
  <c r="V297" i="51" s="1"/>
  <c r="V299" i="51" s="1"/>
  <c r="I297" i="51"/>
  <c r="W296" i="51"/>
  <c r="W297" i="51" s="1"/>
  <c r="W299" i="51" s="1"/>
  <c r="U295" i="51"/>
  <c r="E296" i="51"/>
  <c r="T295" i="51"/>
  <c r="N295" i="51" s="1"/>
  <c r="C296" i="51"/>
  <c r="C297" i="51" l="1"/>
  <c r="T296" i="51"/>
  <c r="E297" i="51"/>
  <c r="U296" i="51"/>
  <c r="U297" i="51" s="1"/>
  <c r="U299" i="51" s="1"/>
  <c r="N296" i="51" l="1"/>
  <c r="N297" i="51" s="1"/>
  <c r="T297" i="51"/>
  <c r="T299" i="51" s="1"/>
  <c r="N299" i="51" l="1"/>
  <c r="S297" i="51"/>
  <c r="S299" i="5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sbi</author>
  </authors>
  <commentList>
    <comment ref="C28" authorId="0" shapeId="0" xr:uid="{00000000-0006-0000-0000-000001000000}">
      <text>
        <r>
          <rPr>
            <b/>
            <sz val="10"/>
            <color indexed="81"/>
            <rFont val="Tahoma"/>
            <family val="2"/>
          </rPr>
          <t>Latest CMA / CRA / Other Utility package can also be downloaded from ftp://10.31.0.37 'CRA REVISED' folder.</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sbi</author>
    <author>hcl</author>
  </authors>
  <commentList>
    <comment ref="B11" authorId="0" shapeId="0" xr:uid="{00000000-0006-0000-0D00-000001000000}">
      <text>
        <r>
          <rPr>
            <b/>
            <sz val="10"/>
            <color indexed="81"/>
            <rFont val="Tahoma"/>
            <family val="2"/>
          </rPr>
          <t>For Increase put (-) sign</t>
        </r>
      </text>
    </comment>
    <comment ref="B15" authorId="0" shapeId="0" xr:uid="{00000000-0006-0000-0D00-000002000000}">
      <text>
        <r>
          <rPr>
            <b/>
            <sz val="10"/>
            <color indexed="81"/>
            <rFont val="Tahoma"/>
            <family val="2"/>
          </rPr>
          <t>For Decrease put (-) sign</t>
        </r>
      </text>
    </comment>
    <comment ref="B24" authorId="0" shapeId="0" xr:uid="{00000000-0006-0000-0D00-000003000000}">
      <text>
        <r>
          <rPr>
            <b/>
            <sz val="10"/>
            <color indexed="81"/>
            <rFont val="Tahoma"/>
            <family val="2"/>
          </rPr>
          <t>For Increase put (-) sign</t>
        </r>
      </text>
    </comment>
    <comment ref="B35" authorId="0" shapeId="0" xr:uid="{00000000-0006-0000-0D00-000004000000}">
      <text>
        <r>
          <rPr>
            <b/>
            <sz val="10"/>
            <color indexed="81"/>
            <rFont val="Tahoma"/>
            <family val="2"/>
          </rPr>
          <t>For Decrease put (-) sign</t>
        </r>
      </text>
    </comment>
    <comment ref="B47" authorId="1" shapeId="0" xr:uid="{00000000-0006-0000-0D00-000005000000}">
      <text>
        <r>
          <rPr>
            <b/>
            <sz val="10"/>
            <color indexed="81"/>
            <rFont val="Tahoma"/>
            <family val="2"/>
          </rPr>
          <t>Feed previous year's closing cash balance or the balancing figure to nullify the diff.</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hcl</author>
    <author>sbi</author>
  </authors>
  <commentList>
    <comment ref="A4" authorId="0" shapeId="0" xr:uid="{00000000-0006-0000-0E00-000001000000}">
      <text>
        <r>
          <rPr>
            <b/>
            <sz val="10"/>
            <color indexed="81"/>
            <rFont val="Tahoma"/>
            <family val="2"/>
          </rPr>
          <t>It would vary from activity to activity</t>
        </r>
      </text>
    </comment>
    <comment ref="B10" authorId="0" shapeId="0" xr:uid="{00000000-0006-0000-0E00-000002000000}">
      <text>
        <r>
          <rPr>
            <b/>
            <sz val="10"/>
            <color indexed="81"/>
            <rFont val="Tahoma"/>
            <family val="2"/>
          </rPr>
          <t>Put (-) sign for decline</t>
        </r>
      </text>
    </comment>
    <comment ref="A11" authorId="1" shapeId="0" xr:uid="{00000000-0006-0000-0E00-000003000000}">
      <text>
        <r>
          <rPr>
            <b/>
            <sz val="10"/>
            <color indexed="81"/>
            <rFont val="Tahoma"/>
            <family val="2"/>
          </rPr>
          <t>Sales Value= Net Sales + Opn.  Stock - Clg. Stock of FG</t>
        </r>
      </text>
    </comment>
    <comment ref="A33" authorId="1" shapeId="0" xr:uid="{00000000-0006-0000-0E00-000004000000}">
      <text>
        <r>
          <rPr>
            <b/>
            <sz val="10"/>
            <color indexed="81"/>
            <rFont val="Tahoma"/>
            <family val="2"/>
          </rPr>
          <t xml:space="preserve">Operating Profit of the year under analysis is to remain in positive figure while deciding the extent of adverse movement in Sales / Variable / Fixed cost.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sbi</author>
    <author>hcl</author>
  </authors>
  <commentList>
    <comment ref="B16" authorId="0" shapeId="0" xr:uid="{00000000-0006-0000-0F00-000001000000}">
      <text>
        <r>
          <rPr>
            <b/>
            <sz val="10"/>
            <color indexed="81"/>
            <rFont val="Tahoma"/>
            <family val="2"/>
          </rPr>
          <t>Put (-) sign to subtract</t>
        </r>
      </text>
    </comment>
    <comment ref="A20" authorId="1" shapeId="0" xr:uid="{00000000-0006-0000-0F00-000002000000}">
      <text>
        <r>
          <rPr>
            <b/>
            <sz val="10"/>
            <color indexed="81"/>
            <rFont val="Tahoma"/>
            <family val="2"/>
          </rPr>
          <t xml:space="preserve">Last 12 months data to be filled which MAY NOT be in chronological order </t>
        </r>
      </text>
    </comment>
    <comment ref="B20" authorId="1" shapeId="0" xr:uid="{00000000-0006-0000-0F00-000003000000}">
      <text>
        <r>
          <rPr>
            <b/>
            <sz val="10"/>
            <color indexed="81"/>
            <rFont val="Tahoma"/>
            <family val="2"/>
          </rPr>
          <t>MAR figure is taken as base figure for comparison</t>
        </r>
      </text>
    </comment>
    <comment ref="B31" authorId="1" shapeId="0" xr:uid="{00000000-0006-0000-0F00-000004000000}">
      <text>
        <r>
          <rPr>
            <b/>
            <sz val="10"/>
            <color indexed="81"/>
            <rFont val="Tahoma"/>
            <family val="2"/>
          </rPr>
          <t xml:space="preserve">This is to be taken as base month for comparison.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hcl</author>
    <author>sbi</author>
  </authors>
  <commentList>
    <comment ref="C6" authorId="0" shapeId="0" xr:uid="{00000000-0006-0000-0100-000001000000}">
      <text>
        <r>
          <rPr>
            <b/>
            <sz val="10"/>
            <color indexed="81"/>
            <rFont val="Tahoma"/>
            <family val="2"/>
          </rPr>
          <t>Latest CMA / CRA / Other package can also be downloaded from ftp://10.31.0.37 'CRA REVISED' folder</t>
        </r>
        <r>
          <rPr>
            <sz val="10"/>
            <color indexed="81"/>
            <rFont val="Tahoma"/>
            <family val="2"/>
          </rPr>
          <t xml:space="preserve">
</t>
        </r>
      </text>
    </comment>
    <comment ref="C10" authorId="0" shapeId="0" xr:uid="{00000000-0006-0000-0100-000002000000}">
      <text>
        <r>
          <rPr>
            <b/>
            <sz val="10"/>
            <color indexed="81"/>
            <rFont val="Tahoma"/>
            <family val="2"/>
          </rPr>
          <t>Select month /year</t>
        </r>
      </text>
    </comment>
    <comment ref="B17" authorId="1" shapeId="0" xr:uid="{00000000-0006-0000-0100-000003000000}">
      <text>
        <r>
          <rPr>
            <b/>
            <sz val="10"/>
            <color indexed="81"/>
            <rFont val="Tahoma"/>
            <family val="2"/>
          </rPr>
          <t>Input Op. Bal. in Oper. St. sheet</t>
        </r>
      </text>
    </comment>
    <comment ref="B200" authorId="1" shapeId="0" xr:uid="{00000000-0006-0000-0100-000004000000}">
      <text>
        <r>
          <rPr>
            <b/>
            <sz val="10"/>
            <color indexed="81"/>
            <rFont val="Tahoma"/>
            <family val="2"/>
          </rPr>
          <t xml:space="preserve">For Estimates, pls input data above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hcl</author>
    <author>sbi</author>
  </authors>
  <commentList>
    <comment ref="A3" authorId="0" shapeId="0" xr:uid="{00000000-0006-0000-0200-000001000000}">
      <text>
        <r>
          <rPr>
            <b/>
            <sz val="10"/>
            <color indexed="81"/>
            <rFont val="Tahoma"/>
            <family val="2"/>
          </rPr>
          <t>TL INTT will appear for period starting Repayment / Disbursement</t>
        </r>
      </text>
    </comment>
    <comment ref="A5" authorId="1" shapeId="0" xr:uid="{00000000-0006-0000-0200-000002000000}">
      <text>
        <r>
          <rPr>
            <b/>
            <sz val="10"/>
            <color indexed="81"/>
            <rFont val="Tahoma"/>
            <family val="2"/>
          </rPr>
          <t>Feed Intt to Others (if any)</t>
        </r>
      </text>
    </comment>
    <comment ref="A10" authorId="1" shapeId="0" xr:uid="{00000000-0006-0000-0200-000003000000}">
      <text>
        <r>
          <rPr>
            <b/>
            <sz val="10"/>
            <color indexed="81"/>
            <rFont val="Tahoma"/>
            <family val="2"/>
          </rPr>
          <t>to be treated as Curr. Liab. In the Previous yr B/S</t>
        </r>
      </text>
    </comment>
    <comment ref="A11" authorId="1" shapeId="0" xr:uid="{00000000-0006-0000-0200-000004000000}">
      <text>
        <r>
          <rPr>
            <b/>
            <sz val="10"/>
            <color indexed="81"/>
            <rFont val="Tahoma"/>
            <family val="2"/>
          </rPr>
          <t>to be treated as Term Liab in the corresponding year after necessary adj. if any, to be done with respect to actual balances in the accounts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sbi</author>
  </authors>
  <commentList>
    <comment ref="A5" authorId="0" shapeId="0" xr:uid="{00000000-0006-0000-0300-000001000000}">
      <text>
        <r>
          <rPr>
            <b/>
            <sz val="10"/>
            <color indexed="81"/>
            <rFont val="Tahoma"/>
            <family val="2"/>
          </rPr>
          <t>Put (-) sign to Subtract</t>
        </r>
      </text>
    </comment>
    <comment ref="A39" authorId="0" shapeId="0" xr:uid="{00000000-0006-0000-0300-000002000000}">
      <text>
        <r>
          <rPr>
            <b/>
            <sz val="10"/>
            <color indexed="81"/>
            <rFont val="Tahoma"/>
            <family val="2"/>
          </rPr>
          <t>To get correct value pls segregate TL payable &lt;1 yr to SBI and Others Banks in the Liab. sheet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hcl</author>
  </authors>
  <commentList>
    <comment ref="E3" authorId="0" shapeId="0" xr:uid="{00000000-0006-0000-0400-000001000000}">
      <text>
        <r>
          <rPr>
            <b/>
            <sz val="10"/>
            <color indexed="81"/>
            <rFont val="Tahoma"/>
            <family val="2"/>
          </rPr>
          <t>Select the period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sbi</author>
  </authors>
  <commentList>
    <comment ref="I2" authorId="0" shapeId="0" xr:uid="{00000000-0006-0000-0800-000001000000}">
      <text>
        <r>
          <rPr>
            <b/>
            <sz val="8"/>
            <color indexed="81"/>
            <rFont val="Tahoma"/>
            <family val="2"/>
          </rPr>
          <t>Kindly feed the Estimates of last sanction in the INPUT sheet</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sbi</author>
    <author>hcl</author>
  </authors>
  <commentList>
    <comment ref="I2" authorId="0" shapeId="0" xr:uid="{00000000-0006-0000-0900-000001000000}">
      <text>
        <r>
          <rPr>
            <b/>
            <sz val="8"/>
            <color indexed="81"/>
            <rFont val="Tahoma"/>
            <family val="2"/>
          </rPr>
          <t>Feed the Estimates of last sanction in the INPUT sheet</t>
        </r>
      </text>
    </comment>
    <comment ref="A65" authorId="0" shapeId="0" xr:uid="{00000000-0006-0000-0900-000002000000}">
      <text>
        <r>
          <rPr>
            <b/>
            <sz val="10"/>
            <color indexed="81"/>
            <rFont val="Tahoma"/>
            <family val="2"/>
          </rPr>
          <t xml:space="preserve">Cash Accrual Less [Div payment, Adj. in P&amp;L/Dep, Pre. Exp w/o, if any] </t>
        </r>
      </text>
    </comment>
    <comment ref="A99" authorId="0" shapeId="0" xr:uid="{00000000-0006-0000-0900-000003000000}">
      <text>
        <r>
          <rPr>
            <b/>
            <sz val="10"/>
            <color indexed="81"/>
            <rFont val="Tahoma"/>
            <family val="2"/>
          </rPr>
          <t>Feed the Estimates of last sanction in the INPUT sheet</t>
        </r>
      </text>
    </comment>
    <comment ref="B170" authorId="1" shapeId="0" xr:uid="{00000000-0006-0000-0900-000004000000}">
      <text>
        <r>
          <rPr>
            <b/>
            <sz val="10"/>
            <color indexed="81"/>
            <rFont val="Tahoma"/>
            <family val="2"/>
          </rPr>
          <t>Input LC limit here</t>
        </r>
      </text>
    </comment>
    <comment ref="E180" authorId="0" shapeId="0" xr:uid="{00000000-0006-0000-0900-000005000000}">
      <text>
        <r>
          <rPr>
            <b/>
            <sz val="10"/>
            <color indexed="81"/>
            <rFont val="Tahoma"/>
            <family val="2"/>
          </rPr>
          <t>Insert margin %</t>
        </r>
      </text>
    </comment>
    <comment ref="A201" authorId="0" shapeId="0" xr:uid="{00000000-0006-0000-0900-000006000000}">
      <text>
        <r>
          <rPr>
            <b/>
            <sz val="10"/>
            <color indexed="81"/>
            <rFont val="Tahoma"/>
            <family val="2"/>
          </rPr>
          <t>Feed the Estimates of last sanction in the INPUT sheet</t>
        </r>
      </text>
    </comment>
    <comment ref="A213" authorId="0" shapeId="0" xr:uid="{00000000-0006-0000-0900-000007000000}">
      <text>
        <r>
          <rPr>
            <b/>
            <sz val="10"/>
            <color indexed="81"/>
            <rFont val="Tahoma"/>
            <family val="2"/>
          </rPr>
          <t>For DSCR of previous years, pls fill corresponding year repayment in the "Intt &amp; Reapy" sheet.</t>
        </r>
      </text>
    </comment>
    <comment ref="A229" authorId="0" shapeId="0" xr:uid="{00000000-0006-0000-0900-000008000000}">
      <text>
        <r>
          <rPr>
            <b/>
            <sz val="10"/>
            <color indexed="81"/>
            <rFont val="Tahoma"/>
            <family val="2"/>
          </rPr>
          <t>CRA ratio can be directly copied to the CRA package using "Copy&gt;Pase Special&gt;Values" command</t>
        </r>
        <r>
          <rPr>
            <sz val="10"/>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hcl</author>
    <author>sbi</author>
  </authors>
  <commentList>
    <comment ref="B4" authorId="0" shapeId="0" xr:uid="{00000000-0006-0000-0B00-000001000000}">
      <text>
        <r>
          <rPr>
            <b/>
            <sz val="10"/>
            <color indexed="81"/>
            <rFont val="Tahoma"/>
            <family val="2"/>
          </rPr>
          <t>Input incremental data wherever applicable</t>
        </r>
      </text>
    </comment>
    <comment ref="B13" authorId="1" shapeId="0" xr:uid="{00000000-0006-0000-0B00-000002000000}">
      <text>
        <r>
          <rPr>
            <b/>
            <sz val="10"/>
            <color indexed="81"/>
            <rFont val="Tahoma"/>
            <family val="2"/>
          </rPr>
          <t>Balance the first yr TNW manually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sbi</author>
  </authors>
  <commentList>
    <comment ref="H3" authorId="0" shapeId="0" xr:uid="{00000000-0006-0000-0C00-000001000000}">
      <text>
        <r>
          <rPr>
            <b/>
            <sz val="10"/>
            <color indexed="81"/>
            <rFont val="Tahoma"/>
            <family val="2"/>
          </rPr>
          <t>Select External Rating for applicable Risk Wt.</t>
        </r>
      </text>
    </comment>
  </commentList>
</comments>
</file>

<file path=xl/sharedStrings.xml><?xml version="1.0" encoding="utf-8"?>
<sst xmlns="http://schemas.openxmlformats.org/spreadsheetml/2006/main" count="2743" uniqueCount="1084">
  <si>
    <t>Operating profit (C-D)</t>
  </si>
  <si>
    <t>PAT / Operative income (%)</t>
  </si>
  <si>
    <t>WC</t>
  </si>
  <si>
    <t>TL</t>
  </si>
  <si>
    <t>D</t>
  </si>
  <si>
    <t>WC+TL</t>
  </si>
  <si>
    <t>E</t>
  </si>
  <si>
    <t>AMOUNT OF BG ONLY</t>
  </si>
  <si>
    <t>EST.BG CANCEL./MATURITY</t>
  </si>
  <si>
    <t>PART B</t>
  </si>
  <si>
    <t>Export sales</t>
  </si>
  <si>
    <t>Net sales</t>
  </si>
  <si>
    <t>Operating profit</t>
  </si>
  <si>
    <t>Profit before tax</t>
  </si>
  <si>
    <t>PBT/Net sales</t>
  </si>
  <si>
    <t>Profit after tax</t>
  </si>
  <si>
    <t>Cash accruals</t>
  </si>
  <si>
    <t>PBDIT</t>
  </si>
  <si>
    <t>Tangible net worth</t>
  </si>
  <si>
    <t>Adjusted TNW</t>
  </si>
  <si>
    <t>TOL/TNW</t>
  </si>
  <si>
    <t>Current ratio</t>
  </si>
  <si>
    <t>NWC</t>
  </si>
  <si>
    <t>PART C</t>
  </si>
  <si>
    <t>A</t>
  </si>
  <si>
    <t>CRA Calculations</t>
  </si>
  <si>
    <t>Last year estimates</t>
  </si>
  <si>
    <t>ROCE</t>
  </si>
  <si>
    <t>PAT/ Operating Income (%)</t>
  </si>
  <si>
    <t>B</t>
  </si>
  <si>
    <t>Average year to year growth in net sales in last two quarters</t>
  </si>
  <si>
    <t>Previous FY</t>
  </si>
  <si>
    <t>Current FY</t>
  </si>
  <si>
    <t>Pre. Qt.</t>
  </si>
  <si>
    <t>Last Qt.</t>
  </si>
  <si>
    <t>PAT</t>
  </si>
  <si>
    <t>NET AVG DSCR</t>
  </si>
  <si>
    <t>TOT. ASSETS (34+37+41+42)</t>
  </si>
  <si>
    <t>TAN. NET WORTH (24-42)</t>
  </si>
  <si>
    <t>NET WORKING CAPITAL</t>
  </si>
  <si>
    <t>[(17+24)-(37+41+42)]</t>
  </si>
  <si>
    <t>CURRENT RATIO</t>
  </si>
  <si>
    <t>TOT.OUT.LIAB./TAN.N.WORTH</t>
  </si>
  <si>
    <t>TOT.TER.LIAB./TAN.N WORTH</t>
  </si>
  <si>
    <t>(Exports)</t>
  </si>
  <si>
    <t>PBT</t>
  </si>
  <si>
    <t>PBT/N Sales</t>
  </si>
  <si>
    <t>Cash Accruals</t>
  </si>
  <si>
    <t>Intt Cov. Ratio</t>
  </si>
  <si>
    <t>PUC</t>
  </si>
  <si>
    <t>TNW</t>
  </si>
  <si>
    <t>TOL/Adj. TNW</t>
  </si>
  <si>
    <t>ROE%</t>
  </si>
  <si>
    <t>Raw Materials</t>
  </si>
  <si>
    <t>Power and Fuel</t>
  </si>
  <si>
    <t>Direct Labour</t>
  </si>
  <si>
    <t>Operating Profit</t>
  </si>
  <si>
    <t>Selling &amp; GA Cost</t>
  </si>
  <si>
    <t>LONG TERM USES</t>
  </si>
  <si>
    <t>Capex</t>
  </si>
  <si>
    <t>LONG TERM SURPLUS / DEFICIT</t>
  </si>
  <si>
    <t>Short Term Bank Finance (A)</t>
  </si>
  <si>
    <t>i. Sundry Creditors</t>
  </si>
  <si>
    <t>ii. Advance Payment Received</t>
  </si>
  <si>
    <t xml:space="preserve">v. Term Loan- SBI &gt; 12 months </t>
  </si>
  <si>
    <t xml:space="preserve">vi. Term Loan- Others &gt; 12 months </t>
  </si>
  <si>
    <t>viii. Unsecured Loans</t>
  </si>
  <si>
    <t>ix. Other Term Liabilities</t>
  </si>
  <si>
    <t>TOTAL LIABILITIES (G) (E+F)</t>
  </si>
  <si>
    <t>Gross Block</t>
  </si>
  <si>
    <t>Less Cuml. Depreciation</t>
  </si>
  <si>
    <t>VARIATION IN NWC</t>
  </si>
  <si>
    <t>FIXED ASSETS</t>
  </si>
  <si>
    <t>and stores &amp; spares</t>
  </si>
  <si>
    <t>Advance payment of taxes</t>
  </si>
  <si>
    <t>Other current assets</t>
  </si>
  <si>
    <t>TOTAL CURRENT ASSETS</t>
  </si>
  <si>
    <t>(Total 26 to 33)</t>
  </si>
  <si>
    <t>PAGE  4</t>
  </si>
  <si>
    <t>NAME OF THE FIRM/CO.</t>
  </si>
  <si>
    <t>C&amp;I</t>
  </si>
  <si>
    <t>AMOUNT IN</t>
  </si>
  <si>
    <t>31ST</t>
  </si>
  <si>
    <t>BALANCE SHEET MONTH</t>
  </si>
  <si>
    <t>MARCH</t>
  </si>
  <si>
    <t>FINANCIAL YEAR</t>
  </si>
  <si>
    <t>AUD.</t>
  </si>
  <si>
    <t>PROJ.</t>
  </si>
  <si>
    <t>YEAR NUMBER</t>
  </si>
  <si>
    <t>YEAR 1</t>
  </si>
  <si>
    <t>YEAR 2</t>
  </si>
  <si>
    <t>YEAR 3</t>
  </si>
  <si>
    <t>YEAR 4</t>
  </si>
  <si>
    <t>YEAR 5</t>
  </si>
  <si>
    <t>YEAR 6</t>
  </si>
  <si>
    <t xml:space="preserve">YEAR 7 </t>
  </si>
  <si>
    <t>INPUT FOR BREAK EVEN ANALYSIS</t>
  </si>
  <si>
    <t>Capacity utilisation</t>
  </si>
  <si>
    <t>expenses not provided for etc.)</t>
  </si>
  <si>
    <t>2020-21</t>
  </si>
  <si>
    <t>2021-22</t>
  </si>
  <si>
    <t>TOTAL TERM LIABILITIES</t>
  </si>
  <si>
    <t>TOTAL OUTSIDE LIABILITIES</t>
  </si>
  <si>
    <t>(Item 10 + item 17)</t>
  </si>
  <si>
    <t>NET WORTH</t>
  </si>
  <si>
    <t>Ordinary share capital</t>
  </si>
  <si>
    <t>General reserve</t>
  </si>
  <si>
    <t>Revaluation reserve</t>
  </si>
  <si>
    <t>Other reserves (excl.provisions)</t>
  </si>
  <si>
    <t>Surplus(+)/Deficit(-) in P&amp;L A/C</t>
  </si>
  <si>
    <t>Deffered tax liabilities</t>
  </si>
  <si>
    <t>TOTAL LIABILITIES</t>
  </si>
  <si>
    <t>PAGE  3</t>
  </si>
  <si>
    <t>ASSETS</t>
  </si>
  <si>
    <t>CURRENT ASSETS</t>
  </si>
  <si>
    <t>Cash and bank balances</t>
  </si>
  <si>
    <t>Inv. (other than long term inv.)</t>
  </si>
  <si>
    <t>Govt.and oth. trustee securities</t>
  </si>
  <si>
    <t xml:space="preserve">Receiv. other than deferred and </t>
  </si>
  <si>
    <t xml:space="preserve">exports(incl.bill purchased and </t>
  </si>
  <si>
    <t>discounted by banks)</t>
  </si>
  <si>
    <t xml:space="preserve">Exp.receivables (including bills </t>
  </si>
  <si>
    <t>purchased and disc.by banks)</t>
  </si>
  <si>
    <t>Instal. of deferred receivables</t>
  </si>
  <si>
    <t>Inventory:</t>
  </si>
  <si>
    <t>R.M.(incl.stores and other item</t>
  </si>
  <si>
    <t>used in process of manufacture</t>
  </si>
  <si>
    <t>Imported</t>
  </si>
  <si>
    <t>Indigenous</t>
  </si>
  <si>
    <t>Stocks-in-process</t>
  </si>
  <si>
    <t>Finished goods</t>
  </si>
  <si>
    <t>Other consumable spares</t>
  </si>
  <si>
    <t>Adv. to supp. of raw materials</t>
  </si>
  <si>
    <t>Decrease in:     Fixed assets</t>
  </si>
  <si>
    <t>(f)</t>
  </si>
  <si>
    <t>Depreciation adjustment</t>
  </si>
  <si>
    <t>(g)</t>
  </si>
  <si>
    <t>2009-10</t>
  </si>
  <si>
    <t>sales as compared to last year</t>
  </si>
  <si>
    <t>Other non-current assets</t>
  </si>
  <si>
    <t>(h)</t>
  </si>
  <si>
    <t>(i)</t>
  </si>
  <si>
    <t>(j)</t>
  </si>
  <si>
    <t>USES</t>
  </si>
  <si>
    <t>Net loss</t>
  </si>
  <si>
    <t>Dividend payment</t>
  </si>
  <si>
    <t>Decrease in capital</t>
  </si>
  <si>
    <t>Decrease in term liabilities incl.</t>
  </si>
  <si>
    <t>Increase in:      Fixed assets</t>
  </si>
  <si>
    <t>Deferred tax liabilities</t>
  </si>
  <si>
    <t>Deferred tax assets</t>
  </si>
  <si>
    <t>Long term surplus/deficit</t>
  </si>
  <si>
    <t>PERCENTAGE ONLY</t>
  </si>
  <si>
    <t>LIMIT ASSESSMENT YEAR</t>
  </si>
  <si>
    <t>YEAR NO. AS 1,2,3,4 OR 5 ONLY</t>
  </si>
  <si>
    <t>WORKING CAPITAL</t>
  </si>
  <si>
    <t>R.M.-IMP.</t>
  </si>
  <si>
    <t>S.I.P.</t>
  </si>
  <si>
    <t>F.G.</t>
  </si>
  <si>
    <t>REC.-EXP.</t>
  </si>
  <si>
    <t>MARGIN (% VALUE)</t>
  </si>
  <si>
    <t>CONSUMABLES -- IMP.</t>
  </si>
  <si>
    <t>LC (IMPORT)</t>
  </si>
  <si>
    <t>R.M.CONSUMPTION(%VALUE)</t>
  </si>
  <si>
    <t>BANK GUARANTEE</t>
  </si>
  <si>
    <t>Deffered tax assets</t>
  </si>
  <si>
    <t>TOT.OTH.NON-CURR.ASSETS</t>
  </si>
  <si>
    <t>Intan.assets (patents, goodwill,</t>
  </si>
  <si>
    <t>prel. expenses, bad/doubtful</t>
  </si>
  <si>
    <t>Increase/decrease in C.A.</t>
  </si>
  <si>
    <t>Increase/decrease in C.L.</t>
  </si>
  <si>
    <t>other than bank borrowings</t>
  </si>
  <si>
    <t>Increase/decrease in W.C.gap</t>
  </si>
  <si>
    <t>Net surplus(+)/deficit(-)</t>
  </si>
  <si>
    <t>Increase/decrease in Bank borr.</t>
  </si>
  <si>
    <t>Increase/decrease in Net sales</t>
  </si>
  <si>
    <t>PAGE 2</t>
  </si>
  <si>
    <t>BREAK EVEN ANALYSIS</t>
  </si>
  <si>
    <t>(A)</t>
  </si>
  <si>
    <t>Total--Variable expenses</t>
  </si>
  <si>
    <t>(C)</t>
  </si>
  <si>
    <t>Contribution             (A - B)</t>
  </si>
  <si>
    <t>(D)</t>
  </si>
  <si>
    <t>Fixed &amp; semi-fixed exp.</t>
  </si>
  <si>
    <t>(i) Power, water and fuel</t>
  </si>
  <si>
    <t>(ii)Wages and salary</t>
  </si>
  <si>
    <t>(iii)Other factory overheads</t>
  </si>
  <si>
    <t>(iv)Depreciation</t>
  </si>
  <si>
    <t>(v) Selling and Admn.exp.</t>
  </si>
  <si>
    <t>(vi)Intt. on TL, Deb. and DPC</t>
  </si>
  <si>
    <t>Total--Fix.&amp; Semi-fix. exp.</t>
  </si>
  <si>
    <t>(E)</t>
  </si>
  <si>
    <t>Operating profit       (C - D)</t>
  </si>
  <si>
    <t>(F)</t>
  </si>
  <si>
    <t>Break-even point</t>
  </si>
  <si>
    <t>(G)</t>
  </si>
  <si>
    <t>Cash Break-even point</t>
  </si>
  <si>
    <t>SECURITY MARGIN</t>
  </si>
  <si>
    <t>WDV OF FIXED ASSETS</t>
  </si>
  <si>
    <t>AGG. TL OUTSTANDINGS</t>
  </si>
  <si>
    <t>% OF MARGIN</t>
  </si>
  <si>
    <t>2017-18</t>
  </si>
  <si>
    <t>AUGUST</t>
  </si>
  <si>
    <t>SEPTEMBER</t>
  </si>
  <si>
    <t>OCTOBER</t>
  </si>
  <si>
    <t>NOVEMBER</t>
  </si>
  <si>
    <t>PAGE   1</t>
  </si>
  <si>
    <t>ASSESSMENT OF WORKING CAPITAL REQUIREMENTS</t>
  </si>
  <si>
    <t xml:space="preserve">           FORM II -- OPERATING STATEMENT</t>
  </si>
  <si>
    <t>Cost of sales</t>
  </si>
  <si>
    <t>Deduct cl. stocks-in-process</t>
  </si>
  <si>
    <t>x)</t>
  </si>
  <si>
    <t>Cost of Production</t>
  </si>
  <si>
    <t>xi)</t>
  </si>
  <si>
    <t xml:space="preserve">YEAR 8 </t>
  </si>
  <si>
    <t>YEAR 9</t>
  </si>
  <si>
    <t>YEAR 10</t>
  </si>
  <si>
    <t>YEAR 11</t>
  </si>
  <si>
    <t>YEAR 12</t>
  </si>
  <si>
    <t>YEAR 13</t>
  </si>
  <si>
    <t>YEAR 14</t>
  </si>
  <si>
    <t>PAGE  1</t>
  </si>
  <si>
    <t>FORM III  -- ANALYSIS OF BALANCE SHEET</t>
  </si>
  <si>
    <t>LIABILITIES</t>
  </si>
  <si>
    <t xml:space="preserve">As per balance sheet for year ending on </t>
  </si>
  <si>
    <t>CURRENT LIABILITIES</t>
  </si>
  <si>
    <t>Short term borr. from banks</t>
  </si>
  <si>
    <t>(incl. bills purch., disc. and</t>
  </si>
  <si>
    <t>excess borr.placed on repaymt)</t>
  </si>
  <si>
    <t>From applicant bank</t>
  </si>
  <si>
    <t>From other banks</t>
  </si>
  <si>
    <t>(of which bills purch./disc.)</t>
  </si>
  <si>
    <t>Sub total (A)</t>
  </si>
  <si>
    <t>Short term borr. from others</t>
  </si>
  <si>
    <t>Sundry Creditors (Trade)</t>
  </si>
  <si>
    <t>Adv.payments from customers/</t>
  </si>
  <si>
    <t>deposits from dealers</t>
  </si>
  <si>
    <t>Provision for taxation</t>
  </si>
  <si>
    <t>Dividend payable</t>
  </si>
  <si>
    <t>Other statutory liabilities</t>
  </si>
  <si>
    <t>Incr. in term liab.incl.public dep.</t>
  </si>
  <si>
    <t>(e)</t>
  </si>
  <si>
    <t>Fixed &amp; semi-fixed expenses (F)</t>
  </si>
  <si>
    <t>YEAR NO. AS 1,2 OR 3 ONLY</t>
  </si>
  <si>
    <t>F</t>
  </si>
  <si>
    <t>Whether the unit is new or existing</t>
  </si>
  <si>
    <t>SSI</t>
  </si>
  <si>
    <t>G</t>
  </si>
  <si>
    <t>H</t>
  </si>
  <si>
    <t>Segment (C&amp;I or SSI/AGL)</t>
  </si>
  <si>
    <t>FEBRUARY</t>
  </si>
  <si>
    <t>APRIL</t>
  </si>
  <si>
    <t>MAY</t>
  </si>
  <si>
    <t>Gross Sales</t>
  </si>
  <si>
    <t>i)</t>
  </si>
  <si>
    <t>ii)</t>
  </si>
  <si>
    <t>iii)</t>
  </si>
  <si>
    <t>iv)</t>
  </si>
  <si>
    <t>TOTAL</t>
  </si>
  <si>
    <t>Less Excise duty</t>
  </si>
  <si>
    <t>Net Sales (Item 1 - Item 2)</t>
  </si>
  <si>
    <t xml:space="preserve">Percentage rise or fall in net </t>
  </si>
  <si>
    <t>Add op.stock of finished goods</t>
  </si>
  <si>
    <t>xii)</t>
  </si>
  <si>
    <t>(due within one year)</t>
  </si>
  <si>
    <t>Dep./instal.of TL/DPGs/Deb.</t>
  </si>
  <si>
    <t>etc.(due within one year)</t>
  </si>
  <si>
    <t>Other curr.liabilities and prov.</t>
  </si>
  <si>
    <t>(Specify major items)</t>
  </si>
  <si>
    <t>Sub total (B)</t>
  </si>
  <si>
    <t>TOTAL CURR. LIABILITIES</t>
  </si>
  <si>
    <t>(Total of 1 to 9 excld. 1(iii))</t>
  </si>
  <si>
    <t>TERM LIABILITIES</t>
  </si>
  <si>
    <t>Deb.(not maturing within 1yr.)</t>
  </si>
  <si>
    <t>Pref.sh.(redeemable after 1yr)</t>
  </si>
  <si>
    <t>Def.payment credits (excluding</t>
  </si>
  <si>
    <t>instal. due within one year)</t>
  </si>
  <si>
    <t>Term dep.(repayable after 1yr.)</t>
  </si>
  <si>
    <t xml:space="preserve">Raw materials (including </t>
  </si>
  <si>
    <t>stores and other items used</t>
  </si>
  <si>
    <t>in process of manufacture)</t>
  </si>
  <si>
    <t>(a) Imported</t>
  </si>
  <si>
    <t>(b) Indigenous</t>
  </si>
  <si>
    <t>Other spares</t>
  </si>
  <si>
    <t>v)</t>
  </si>
  <si>
    <t>vi)</t>
  </si>
  <si>
    <t>Depreciation</t>
  </si>
  <si>
    <t>vii)</t>
  </si>
  <si>
    <t xml:space="preserve"> SUB TOTAL (i to vi)</t>
  </si>
  <si>
    <t>PAGE  2</t>
  </si>
  <si>
    <t>viii)</t>
  </si>
  <si>
    <t>Add op. stocks-in-process</t>
  </si>
  <si>
    <t>ix)</t>
  </si>
  <si>
    <t>2010-11</t>
  </si>
  <si>
    <t>2011-12</t>
  </si>
  <si>
    <t>2012-13</t>
  </si>
  <si>
    <t>2013-14</t>
  </si>
  <si>
    <t>2014-15</t>
  </si>
  <si>
    <t>2015-16</t>
  </si>
  <si>
    <t>2016-17</t>
  </si>
  <si>
    <t>DSCR</t>
  </si>
  <si>
    <t>AVG DSCR</t>
  </si>
  <si>
    <t>NET DSCR</t>
  </si>
  <si>
    <t>2008-09</t>
  </si>
  <si>
    <t>2018-19</t>
  </si>
  <si>
    <t>Net Block</t>
  </si>
  <si>
    <t>SENSITIVITY ANALYSIS</t>
  </si>
  <si>
    <t>Capacity Utilisation (U)</t>
  </si>
  <si>
    <t xml:space="preserve">Sale value of the product (S) </t>
  </si>
  <si>
    <t>Variable expenses (V)</t>
  </si>
  <si>
    <t>Contribution (S-V=C)</t>
  </si>
  <si>
    <t>Sale value of the product</t>
  </si>
  <si>
    <t>(B)</t>
  </si>
  <si>
    <t>Variable Expenses</t>
  </si>
  <si>
    <t>Weightage</t>
  </si>
  <si>
    <t>(i) Raw material</t>
  </si>
  <si>
    <t>(ii)Cons. stores &amp; spares</t>
  </si>
  <si>
    <t>(iii)Power, water and fuel</t>
  </si>
  <si>
    <t>(iv)Wages and salary</t>
  </si>
  <si>
    <t>(v) Repairs and maintenance</t>
  </si>
  <si>
    <t>(vi)Other factory overheads</t>
  </si>
  <si>
    <t>(vii)Selling and Admn.exp.</t>
  </si>
  <si>
    <t>(viii)Intt. on working capital</t>
  </si>
  <si>
    <t>Current Ratio</t>
  </si>
  <si>
    <t>Ded. cl.stock of finished goods</t>
  </si>
  <si>
    <t>xiii)</t>
  </si>
  <si>
    <t>Selling,Gen.and Admn. Exp.</t>
  </si>
  <si>
    <t>SUB TOTAL  (5 + 6)</t>
  </si>
  <si>
    <t>Oper. profit before intt.(3 - 7)</t>
  </si>
  <si>
    <t>Interest</t>
  </si>
  <si>
    <t>Oper.profit after interest (8 - 9)</t>
  </si>
  <si>
    <t>Non-oper. income/expenses</t>
  </si>
  <si>
    <t>Add other non-operating income</t>
  </si>
  <si>
    <t>(a)</t>
  </si>
  <si>
    <t>(b)</t>
  </si>
  <si>
    <t>(c)</t>
  </si>
  <si>
    <t>(d)</t>
  </si>
  <si>
    <t xml:space="preserve">           </t>
  </si>
  <si>
    <t>Sub total (Income)</t>
  </si>
  <si>
    <t>Deduct other non-oper. exp.</t>
  </si>
  <si>
    <t>Prel./Pre-op./Other exp. w/o</t>
  </si>
  <si>
    <t>Sub total (Expenses)</t>
  </si>
  <si>
    <t>Net of other non-op.income/exp</t>
  </si>
  <si>
    <t>Profit before tax/Loss(10+11(iii))</t>
  </si>
  <si>
    <t>Provision for taxes</t>
  </si>
  <si>
    <t>Net Profit/Loss (12 - 13)</t>
  </si>
  <si>
    <t>Prov. for Def.Tax Assets</t>
  </si>
  <si>
    <t>Prov. for Def.Tax Liabilities</t>
  </si>
  <si>
    <t>Equity Dividend paid (Amount)</t>
  </si>
  <si>
    <t xml:space="preserve">    </t>
  </si>
  <si>
    <t>(Already paid + B.S. Provision)</t>
  </si>
  <si>
    <t>Ret.profit/Profit after Def.Tax(%)</t>
  </si>
  <si>
    <t>Domestic Sales</t>
  </si>
  <si>
    <t>Income</t>
  </si>
  <si>
    <t>2019-20</t>
  </si>
  <si>
    <t>Gross block(L &amp; B,machinery</t>
  </si>
  <si>
    <t>and capital work in progress)</t>
  </si>
  <si>
    <t>Depreciation to date</t>
  </si>
  <si>
    <t>NET BLOCK (35-36)</t>
  </si>
  <si>
    <t>OTHER NON-CURR. ASSETS</t>
  </si>
  <si>
    <t xml:space="preserve"> </t>
  </si>
  <si>
    <t>Inv./book debts/advances/dep.</t>
  </si>
  <si>
    <t>which are not current assets</t>
  </si>
  <si>
    <t>Inv. in subsidiary co./affiliates</t>
  </si>
  <si>
    <t>Others</t>
  </si>
  <si>
    <t>Adv. to supp. of capital goods</t>
  </si>
  <si>
    <t>and contractors</t>
  </si>
  <si>
    <t>Deffered domestic receivables</t>
  </si>
  <si>
    <t>Deffered export receivables</t>
  </si>
  <si>
    <t>Staff advances</t>
  </si>
  <si>
    <t>Oth.NCA incl.dues from directors</t>
  </si>
  <si>
    <t>Sales value</t>
  </si>
  <si>
    <t>Net sales quarter wise</t>
  </si>
  <si>
    <t>C</t>
  </si>
  <si>
    <t>YEAR NO. AS 1,2,3 OR BLANK ONLY</t>
  </si>
  <si>
    <t>New</t>
  </si>
  <si>
    <t>Existing</t>
  </si>
  <si>
    <t>public deposits</t>
  </si>
  <si>
    <t>FORM VI - FUNDS FLOW STATEMENT</t>
  </si>
  <si>
    <t>SOURCES</t>
  </si>
  <si>
    <t>Net profit (after deffered tax)</t>
  </si>
  <si>
    <t>Increase in capital</t>
  </si>
  <si>
    <t>Other Current Liabilities (B) (Total of i to iv)</t>
  </si>
  <si>
    <t>TOTAL OUTSIDE LIABILITY (E) = (C+D)</t>
  </si>
  <si>
    <t>a. Investments in Asso. &amp; Sub.</t>
  </si>
  <si>
    <t>c. Receivables (&gt; 6 months)</t>
  </si>
  <si>
    <t>a. DTA</t>
  </si>
  <si>
    <t>iii. TL Inst. Repayable in 12 Months</t>
  </si>
  <si>
    <t>Total Add. H-I+H-II</t>
  </si>
  <si>
    <t xml:space="preserve">Dep </t>
  </si>
  <si>
    <t xml:space="preserve">Net Block </t>
  </si>
  <si>
    <t>Share Application Money</t>
  </si>
  <si>
    <t>LONG TERM SOURCES</t>
  </si>
  <si>
    <t>Deduct Dividend Payment</t>
  </si>
  <si>
    <t>Closing TNW</t>
  </si>
  <si>
    <t>Investment in Asso. &amp; Subs.</t>
  </si>
  <si>
    <t>Net Sales</t>
  </si>
  <si>
    <t>Inventory/Net Sales + Recv./Gross Sales (days)</t>
  </si>
  <si>
    <t>Net Sales / TTA</t>
  </si>
  <si>
    <t>ABF / TCA</t>
  </si>
  <si>
    <t>S Cr / TCA</t>
  </si>
  <si>
    <t>OCL / TCA</t>
  </si>
  <si>
    <t>NWC / TCA</t>
  </si>
  <si>
    <t>SIP- Amount</t>
  </si>
  <si>
    <t>SIP- Days</t>
  </si>
  <si>
    <t>FG- Amount</t>
  </si>
  <si>
    <t>OCA- Amount</t>
  </si>
  <si>
    <t>RM- Imported- Amount</t>
  </si>
  <si>
    <t>RM- Imported- Days</t>
  </si>
  <si>
    <t>RM- Domestic- Amount</t>
  </si>
  <si>
    <t>RM- Domestic- Days</t>
  </si>
  <si>
    <t>Receiv.- Exports- Amount</t>
  </si>
  <si>
    <t>Receiv.- Exports- Days</t>
  </si>
  <si>
    <t>Receiv.- Domestic- Amount</t>
  </si>
  <si>
    <t>Receiv.- Domestic- Days</t>
  </si>
  <si>
    <t>FG- Days</t>
  </si>
  <si>
    <t>S. Cr- Amount</t>
  </si>
  <si>
    <t>S. Cr- Days</t>
  </si>
  <si>
    <t>TCA</t>
  </si>
  <si>
    <t>OCL</t>
  </si>
  <si>
    <t>WC Gap</t>
  </si>
  <si>
    <t>ABF</t>
  </si>
  <si>
    <t>NWC/TCA (%)</t>
  </si>
  <si>
    <t>BF/TCA (%)</t>
  </si>
  <si>
    <t>OCA/TCA (%)</t>
  </si>
  <si>
    <t>LC/SC (%)</t>
  </si>
  <si>
    <t>OCL/TCA (%)</t>
  </si>
  <si>
    <t>PBT/TTA (%)</t>
  </si>
  <si>
    <t>Op Cost/Sales (%)</t>
  </si>
  <si>
    <t>Interest / Cost of Sales</t>
  </si>
  <si>
    <t>Net Sales/TTA (times)</t>
  </si>
  <si>
    <t>ABF/TCA (%)</t>
  </si>
  <si>
    <t>CRA RATIOS (SIMPLIFIED MODEL)</t>
  </si>
  <si>
    <t>CRA RATIOS (REGULAR MODEL)</t>
  </si>
  <si>
    <t>ABF/Gross Sales</t>
  </si>
  <si>
    <t>Gross Sales (value)</t>
  </si>
  <si>
    <t>Net sales (value)</t>
  </si>
  <si>
    <t>Net Sales (Quantity)</t>
  </si>
  <si>
    <t>ROCE (%)</t>
  </si>
  <si>
    <t>PBDIT/Interest</t>
  </si>
  <si>
    <t>PAT/Net Sale (%)</t>
  </si>
  <si>
    <t>(Inventory/N.Sales)+ (Receivable/G.sales) in days</t>
  </si>
  <si>
    <t>Net Cash Accrual/Total Debt (%)</t>
  </si>
  <si>
    <t>CASH FLOW FROM OPERATING ACTIVITIES</t>
  </si>
  <si>
    <t>Interest &amp; finance charges paid</t>
  </si>
  <si>
    <t xml:space="preserve">Less: </t>
  </si>
  <si>
    <t>Add:</t>
  </si>
  <si>
    <t>CASH FLOW FROM FINANCING ACTIVITIES</t>
  </si>
  <si>
    <t>Interest and finance changes paid</t>
  </si>
  <si>
    <t>OPENING BALANCE</t>
  </si>
  <si>
    <t>CLOSING BALANCE</t>
  </si>
  <si>
    <t>Provision for income tax</t>
  </si>
  <si>
    <t>Less:</t>
  </si>
  <si>
    <t>NET CASH FLOW FROM OPERATING ACTIVITIES (A)</t>
  </si>
  <si>
    <t>a. Net cash from operation</t>
  </si>
  <si>
    <t>b. Net cash from investment</t>
  </si>
  <si>
    <t>FORMAT S: SECTION A2</t>
  </si>
  <si>
    <t xml:space="preserve">c) MOVEMENT OF LONG TERM FUNDS: </t>
  </si>
  <si>
    <t>f. ACTIVITY WISE CASH FLOW ANALYSIS</t>
  </si>
  <si>
    <t>g.i. KEY FINANCIAL INDICATORS</t>
  </si>
  <si>
    <t>FORMAT S: SECTION A7</t>
  </si>
  <si>
    <t>a. WORKING CAPITAL</t>
  </si>
  <si>
    <t>FORMAT S: SECTION B1</t>
  </si>
  <si>
    <t>i. a. COMMERCIAL VIABILITY</t>
  </si>
  <si>
    <t>FORMAT S: SECTION B2</t>
  </si>
  <si>
    <t>g. INVENTORY &amp; RECEIVABLES</t>
  </si>
  <si>
    <t>h. ASSESSED BANK FINANCE</t>
  </si>
  <si>
    <t>m. EFFICIENCY RATIOS</t>
  </si>
  <si>
    <t xml:space="preserve">d. Synopsis of balance sheet: </t>
  </si>
  <si>
    <t xml:space="preserve">a. iii. Movement of TNW: </t>
  </si>
  <si>
    <t>e. Review of Term Loan</t>
  </si>
  <si>
    <t>Prev. Yr</t>
  </si>
  <si>
    <t>April</t>
  </si>
  <si>
    <t>May</t>
  </si>
  <si>
    <t>June</t>
  </si>
  <si>
    <t>July</t>
  </si>
  <si>
    <t>August</t>
  </si>
  <si>
    <t>September</t>
  </si>
  <si>
    <t>October</t>
  </si>
  <si>
    <t>November</t>
  </si>
  <si>
    <t>December</t>
  </si>
  <si>
    <t>January</t>
  </si>
  <si>
    <t>February</t>
  </si>
  <si>
    <t>March</t>
  </si>
  <si>
    <t>Opening TNW (excluding Share Application Money)</t>
  </si>
  <si>
    <t>d. Net increase in cash</t>
  </si>
  <si>
    <t>(Exports) (Quantity)</t>
  </si>
  <si>
    <t>CC DETAILS</t>
  </si>
  <si>
    <t>Contribution</t>
  </si>
  <si>
    <t>Operating profit/loss</t>
  </si>
  <si>
    <t>Break-even</t>
  </si>
  <si>
    <t>TL INTT</t>
  </si>
  <si>
    <t>CC INTT</t>
  </si>
  <si>
    <t>INTT SUMMARY</t>
  </si>
  <si>
    <t>REPAYMENT SUMMARY</t>
  </si>
  <si>
    <t>DEP SUMMARY</t>
  </si>
  <si>
    <t>TOTAL (A+B)</t>
  </si>
  <si>
    <t>TL Repay (C)</t>
  </si>
  <si>
    <t>TOTAL (B+C)</t>
  </si>
  <si>
    <t>NET CASH FLOW FROM INVESTING ACTIVITIES (B)</t>
  </si>
  <si>
    <t>(to be convetrted into equity)</t>
  </si>
  <si>
    <t>RATE OF INTT</t>
  </si>
  <si>
    <t>Proposed Add. In H-I</t>
  </si>
  <si>
    <t>Proposed Add. In H-II</t>
  </si>
  <si>
    <t>Rate of Dep.</t>
  </si>
  <si>
    <t xml:space="preserve">INTT TO OTHERS </t>
  </si>
  <si>
    <t>1017-18</t>
  </si>
  <si>
    <t>2022-23</t>
  </si>
  <si>
    <t>2023-24</t>
  </si>
  <si>
    <t>2024-25</t>
  </si>
  <si>
    <t>Dep</t>
  </si>
  <si>
    <t>AGG. TL OUTSTANDING</t>
  </si>
  <si>
    <t>NET CASH FLOW FROM FINANCING ACTIVITIES ©</t>
  </si>
  <si>
    <t>CASH FLOW FROM INVESTING ACTIVITIES</t>
  </si>
  <si>
    <t xml:space="preserve">For any Query / Suggestion, please contact- </t>
  </si>
  <si>
    <t>email at : vikram.p@sbi.co.in</t>
  </si>
  <si>
    <t>OR call at:</t>
  </si>
  <si>
    <t>Fresh additiona in F.A.</t>
  </si>
  <si>
    <t>Description</t>
  </si>
  <si>
    <t>EARNING &amp; ROCC</t>
  </si>
  <si>
    <t>Sl</t>
  </si>
  <si>
    <t>Facility</t>
  </si>
  <si>
    <t>External Rating</t>
  </si>
  <si>
    <t xml:space="preserve">Net Intt Margin (NIM): </t>
  </si>
  <si>
    <t>Proposed limit</t>
  </si>
  <si>
    <t>CCF (E)</t>
  </si>
  <si>
    <t>Risk Weight (F)</t>
  </si>
  <si>
    <t>Risk Weighted Exposure (G=D*E*F)</t>
  </si>
  <si>
    <t>Cash Margin</t>
  </si>
  <si>
    <t>Capital Charge (CC):</t>
  </si>
  <si>
    <t>Return on Capital Charge (ROCC):</t>
  </si>
  <si>
    <t>Intt Income (last yr) (P)</t>
  </si>
  <si>
    <t>NII (Q=P*C/A)</t>
  </si>
  <si>
    <t>Fee Income (R)</t>
  </si>
  <si>
    <t>Total Income (S)</t>
  </si>
  <si>
    <t>Actual</t>
  </si>
  <si>
    <t>Estimates</t>
  </si>
  <si>
    <t>NII (U=T*C/A)</t>
  </si>
  <si>
    <t>Fee Income (V)</t>
  </si>
  <si>
    <t>Total Income (W)</t>
  </si>
  <si>
    <t>AAA</t>
  </si>
  <si>
    <t>BBB</t>
  </si>
  <si>
    <t xml:space="preserve">BB </t>
  </si>
  <si>
    <t>UNRATED</t>
  </si>
  <si>
    <t>AA</t>
  </si>
  <si>
    <t>Financial Guarantees</t>
  </si>
  <si>
    <t>Performance Guarantees</t>
  </si>
  <si>
    <t>Off B/S Exposures</t>
  </si>
  <si>
    <t>Unutilized limits of CC / OD / Revolving Credit and Term Loan with Draw-down schedule up to 1 year</t>
  </si>
  <si>
    <t>LC (Documentary)</t>
  </si>
  <si>
    <t>LC (Non-Documentary)</t>
  </si>
  <si>
    <t>Intt Income (Curr. yr) (T)</t>
  </si>
  <si>
    <t>Unutilized limits of DL / TL with Draw-down schedule &gt; 1 yr</t>
  </si>
  <si>
    <t>a. FINANCIAL INDICATORS:</t>
  </si>
  <si>
    <t>MRFTP $ (B)</t>
  </si>
  <si>
    <t>ROCC                                  (Total Income/H*100)</t>
  </si>
  <si>
    <t>LC LIMIT</t>
  </si>
  <si>
    <t>CC</t>
  </si>
  <si>
    <t>Sub-total</t>
  </si>
  <si>
    <t xml:space="preserve">Others </t>
  </si>
  <si>
    <t>Credit Exposure Limit</t>
  </si>
  <si>
    <t>LIMITS</t>
  </si>
  <si>
    <t>Total / Cons. / MBA/ Synd.</t>
  </si>
  <si>
    <t>WCDL</t>
  </si>
  <si>
    <t>BD</t>
  </si>
  <si>
    <t>EPC</t>
  </si>
  <si>
    <t>FBD</t>
  </si>
  <si>
    <t>TOTAL FBWC</t>
  </si>
  <si>
    <t>ECB</t>
  </si>
  <si>
    <t>FCL</t>
  </si>
  <si>
    <t>TOTAL FB  (a)</t>
  </si>
  <si>
    <t>NFBWC LC</t>
  </si>
  <si>
    <t>NFBWC BG</t>
  </si>
  <si>
    <t>TOTAL NFBWC (b)</t>
  </si>
  <si>
    <t>TOTAL ©</t>
  </si>
  <si>
    <t>Project related LC</t>
  </si>
  <si>
    <t>Project related BG</t>
  </si>
  <si>
    <t>Project NFB (d)</t>
  </si>
  <si>
    <t>AD-HOC (e)</t>
  </si>
  <si>
    <t>TOTAL NFB (b+c+d+e=f)</t>
  </si>
  <si>
    <t>Investment (h)</t>
  </si>
  <si>
    <t>Leasing (i)</t>
  </si>
  <si>
    <t>Total Exposure (g+h+i)</t>
  </si>
  <si>
    <t>Proposed</t>
  </si>
  <si>
    <t>Change</t>
  </si>
  <si>
    <t>SBI</t>
  </si>
  <si>
    <t>%</t>
  </si>
  <si>
    <t>Derivatives / CEL</t>
  </si>
  <si>
    <t>FC / CEL</t>
  </si>
  <si>
    <t>c (i) Credit Limits (Existing &amp; Proposed)</t>
  </si>
  <si>
    <t>TL-III</t>
  </si>
  <si>
    <t>SLC</t>
  </si>
  <si>
    <t>NET INCREASE / DECREASE IN CASH (A+B+C)</t>
  </si>
  <si>
    <t>NA</t>
  </si>
  <si>
    <t xml:space="preserve">AD-HOC   </t>
  </si>
  <si>
    <t>Source</t>
  </si>
  <si>
    <t>TL INTT (TOTAL)</t>
  </si>
  <si>
    <t>Effective Exposure (D)</t>
  </si>
  <si>
    <t>SALES (%) VARIATION</t>
  </si>
  <si>
    <t>VARIABLE EXPENSES (%) VARIATION</t>
  </si>
  <si>
    <t>FIXED EXPENSES (%) VARIATION</t>
  </si>
  <si>
    <t>Payment of Dividend and Dividend Tax</t>
  </si>
  <si>
    <t>Total of Non-operating income from investment / other sources</t>
  </si>
  <si>
    <t>Total of Non-operating exp. from investment / other sources</t>
  </si>
  <si>
    <r>
      <t xml:space="preserve">Decrease / Increase in Loan &amp; Adavances </t>
    </r>
    <r>
      <rPr>
        <b/>
        <i/>
        <sz val="10"/>
        <rFont val="Arial"/>
        <family val="2"/>
      </rPr>
      <t>[Asset Row No 42, 45]</t>
    </r>
  </si>
  <si>
    <t>Operating Profit before Working Capital Changes (SUB TOTAL)</t>
  </si>
  <si>
    <r>
      <t xml:space="preserve">Decrease / Increase in Advance to suppliers of capital goods </t>
    </r>
    <r>
      <rPr>
        <b/>
        <i/>
        <sz val="10"/>
        <rFont val="Arial"/>
        <family val="2"/>
      </rPr>
      <t>[Asset Row No 73]</t>
    </r>
  </si>
  <si>
    <r>
      <t xml:space="preserve">Expect. </t>
    </r>
    <r>
      <rPr>
        <b/>
        <sz val="12"/>
        <rFont val="Arial"/>
        <family val="2"/>
      </rPr>
      <t>%</t>
    </r>
    <r>
      <rPr>
        <b/>
        <sz val="11"/>
        <rFont val="Arial"/>
        <family val="2"/>
      </rPr>
      <t xml:space="preserve"> utilization</t>
    </r>
  </si>
  <si>
    <t>Cash Accrual</t>
  </si>
  <si>
    <t>Term Loans &gt; 1 YR</t>
  </si>
  <si>
    <t xml:space="preserve">Add a) Increase in equity </t>
  </si>
  <si>
    <t># Note:</t>
  </si>
  <si>
    <r>
      <t xml:space="preserve">Decrease / Increase in investment in Associates/Others </t>
    </r>
    <r>
      <rPr>
        <b/>
        <i/>
        <sz val="10"/>
        <rFont val="Arial"/>
        <family val="2"/>
      </rPr>
      <t>[Asset Row No 70 to 71]</t>
    </r>
  </si>
  <si>
    <t>All Others (Term Liab)</t>
  </si>
  <si>
    <t xml:space="preserve">TL Intt </t>
  </si>
  <si>
    <t>WDV METHOD</t>
  </si>
  <si>
    <t>Add/Sub. Adj. in cash accrual (if any) #</t>
  </si>
  <si>
    <t>Add / Sub. Adj in TL Intt (if any) #</t>
  </si>
  <si>
    <t>ASSESSMENT OF CREDIT EXPOSURE LIMIT (FORWARD CONTRACT / DERIVATIVE LIMIT)</t>
  </si>
  <si>
    <t>Year</t>
  </si>
  <si>
    <t>Exports /TO</t>
  </si>
  <si>
    <t>Import / TO</t>
  </si>
  <si>
    <t>Pr Year (-2)</t>
  </si>
  <si>
    <t>Pr Year (-1)</t>
  </si>
  <si>
    <t>Total</t>
  </si>
  <si>
    <t>Applicable CCF (&lt;1 Yr)</t>
  </si>
  <si>
    <t>Purchase Limit</t>
  </si>
  <si>
    <t>Sales Limit</t>
  </si>
  <si>
    <t>CEL under PP component</t>
  </si>
  <si>
    <t>Eligible Notional</t>
  </si>
  <si>
    <t>&lt; 1Yr</t>
  </si>
  <si>
    <t>&gt; 1 Yr &lt;= 5 Yr</t>
  </si>
  <si>
    <t>&gt; 5 Yr</t>
  </si>
  <si>
    <t>Applicable CCF</t>
  </si>
  <si>
    <t>a. Exchange Rate Contract Revenue (Curr. Ye)</t>
  </si>
  <si>
    <t>b. Exchange Rate Contract DE Others</t>
  </si>
  <si>
    <t>TOTAL Exchange Rate Contract</t>
  </si>
  <si>
    <t>3. Interest Rate Contract</t>
  </si>
  <si>
    <t>Amount (ECB etc.)</t>
  </si>
  <si>
    <t>Total CEL IR Contracts</t>
  </si>
  <si>
    <t>Add Negative MTM of exchange contracts</t>
  </si>
  <si>
    <t>Total Forward/Derivative Limits (1+2+3)</t>
  </si>
  <si>
    <t>2. Documentary Evidence Method</t>
  </si>
  <si>
    <t>Tenor</t>
  </si>
  <si>
    <t xml:space="preserve">Exchange Rate Contract Revenue </t>
  </si>
  <si>
    <t>Exchange Rate Contract DE Others</t>
  </si>
  <si>
    <t>PFE on eligible Notional</t>
  </si>
  <si>
    <t>PFE</t>
  </si>
  <si>
    <t>CEL under DE (Revenue Curr. Yr)</t>
  </si>
  <si>
    <t xml:space="preserve">Higher of </t>
  </si>
  <si>
    <t>(A or b)</t>
  </si>
  <si>
    <t>(A or B)+C</t>
  </si>
  <si>
    <t>Fixed Asset Coverage Ratio</t>
  </si>
  <si>
    <t>TL-NEW</t>
  </si>
  <si>
    <t>TL-EXISTING</t>
  </si>
  <si>
    <t>NIM          (C=A-B)</t>
  </si>
  <si>
    <t xml:space="preserve">Subtract DTA </t>
  </si>
  <si>
    <t>ROI</t>
  </si>
  <si>
    <t>INTT CAL (TL-1)</t>
  </si>
  <si>
    <t>INTT CAL (TL-2)</t>
  </si>
  <si>
    <t>INTT CAL (TL-3)</t>
  </si>
  <si>
    <t>EXISTING TL DETAILS (TL-1)</t>
  </si>
  <si>
    <t>EXISTING TL DETAILS (TL-2)</t>
  </si>
  <si>
    <t>EXISTING TL DETAILS (TL-3)</t>
  </si>
  <si>
    <t xml:space="preserve">Share Application Money </t>
  </si>
  <si>
    <t>PBDIT/Net Sales (Gr. Margin)</t>
  </si>
  <si>
    <t>All Others (Non Current)</t>
  </si>
  <si>
    <t>x. DTL</t>
  </si>
  <si>
    <t>xi. PUC</t>
  </si>
  <si>
    <t xml:space="preserve">xiii. Share Application Money </t>
  </si>
  <si>
    <t>CURRENT Asset.</t>
  </si>
  <si>
    <t>TOTAL CURRENT Asset. (A)</t>
  </si>
  <si>
    <t>FIXED Asset.</t>
  </si>
  <si>
    <t>Total Tangible Asset. (A+B+C = D)</t>
  </si>
  <si>
    <t>b. Other Intangible Asset.</t>
  </si>
  <si>
    <t>Intangible Asset. including DTA (E) = (a+b)</t>
  </si>
  <si>
    <t>TOTAL Asset. (D+E)</t>
  </si>
  <si>
    <t/>
  </si>
  <si>
    <t>BREAKEVEN ANALYSIS</t>
  </si>
  <si>
    <t>SUMMARY</t>
  </si>
  <si>
    <t>BREAKEVEN / SENSITIVITY ANALYSIS</t>
  </si>
  <si>
    <t>S.TOTAL(Total cost of sales)</t>
  </si>
  <si>
    <t>Obsolete stocks</t>
  </si>
  <si>
    <t>Profit / Loss after Def.Tax-</t>
  </si>
  <si>
    <t>(14+15-16)</t>
  </si>
  <si>
    <t>Retained profit (17 - 18)</t>
  </si>
  <si>
    <t>EST.</t>
  </si>
  <si>
    <t>PROV.</t>
  </si>
  <si>
    <t>2007-08</t>
  </si>
  <si>
    <t>2025-26</t>
  </si>
  <si>
    <t>2026-27</t>
  </si>
  <si>
    <t>2027-28</t>
  </si>
  <si>
    <t>2028-29</t>
  </si>
  <si>
    <t>2029-30</t>
  </si>
  <si>
    <t>2030-31</t>
  </si>
  <si>
    <t>2031-32</t>
  </si>
  <si>
    <t>CECEMBER</t>
  </si>
  <si>
    <t>Weightage for fixeC expenses</t>
  </si>
  <si>
    <t>Power, water anC fuel</t>
  </si>
  <si>
    <t>Wages anC salary</t>
  </si>
  <si>
    <t>Other factory overheaCs</t>
  </si>
  <si>
    <t>Selling anC ACmn. expenses</t>
  </si>
  <si>
    <t>Intt. on TL, Ceb. anC CPC</t>
  </si>
  <si>
    <t>LIMIT ASSESSMENT FEECBACK</t>
  </si>
  <si>
    <t>R.M.-INC.</t>
  </si>
  <si>
    <t>REC.-COM.</t>
  </si>
  <si>
    <t>CONSUMABLES -- INC.</t>
  </si>
  <si>
    <t>LETTER OF CRECIT</t>
  </si>
  <si>
    <t>LC (INCIGENOUS)</t>
  </si>
  <si>
    <t>LEAC TIME (MONTHS)</t>
  </si>
  <si>
    <t>USANCE PERIOC (MONTHS)</t>
  </si>
  <si>
    <t>BG OUTSTANCING AS ON</t>
  </si>
  <si>
    <t>CATE IN CC/MM/YY FORMAT</t>
  </si>
  <si>
    <t xml:space="preserve">BG OUTSTANCING </t>
  </si>
  <si>
    <t>TOTAL BG REQC.CURING YR.</t>
  </si>
  <si>
    <t>ESTIMATEC CATA AS PER LAST SANCTION</t>
  </si>
  <si>
    <t>Comestic sales</t>
  </si>
  <si>
    <t>Oth.sales/income - E.Cuty/Cis.</t>
  </si>
  <si>
    <t>PBCIT</t>
  </si>
  <si>
    <t>PaiC up capital</t>
  </si>
  <si>
    <t>ACjusteC TNW</t>
  </si>
  <si>
    <t>TOL/ACjusteC TNW</t>
  </si>
  <si>
    <t>PBCIT/INTT</t>
  </si>
  <si>
    <t>InCustry Average</t>
  </si>
  <si>
    <t xml:space="preserve">Inv./N.Sales+Rec./G.Sales (Cays) </t>
  </si>
  <si>
    <t>Gross average CSCR for all loans</t>
  </si>
  <si>
    <t>Year for the latest ratio i.e.last auCiCeC Cata available</t>
  </si>
  <si>
    <t>Facilities enjoyeC by the unit</t>
  </si>
  <si>
    <t>JAN</t>
  </si>
  <si>
    <t>FEB</t>
  </si>
  <si>
    <t>APR</t>
  </si>
  <si>
    <t>JUN</t>
  </si>
  <si>
    <t>JUL</t>
  </si>
  <si>
    <t>AUG</t>
  </si>
  <si>
    <t>SEP</t>
  </si>
  <si>
    <t>OCT</t>
  </si>
  <si>
    <t>NOV</t>
  </si>
  <si>
    <t>DEC</t>
  </si>
  <si>
    <t>2032-33</t>
  </si>
  <si>
    <t>BALANCE SHEET DATE</t>
  </si>
  <si>
    <t>DATA TYPE</t>
  </si>
  <si>
    <t>Adjustment in Depreciation</t>
  </si>
  <si>
    <t>Adjustment in Op.Bal. of SIP</t>
  </si>
  <si>
    <t>Adjustment in Op.Bal. of FG</t>
  </si>
  <si>
    <t>Adjustment in P&amp;L account</t>
  </si>
  <si>
    <t>Adjustment in Deff.tax liabilities</t>
  </si>
  <si>
    <t>Adjustment in Deff.tax assets</t>
  </si>
  <si>
    <t>Capacity utilization</t>
  </si>
  <si>
    <t>Kindly fill the following data to carry forward the previous year's B/S figures and to make adjustments in B/S for following years (if any)</t>
  </si>
  <si>
    <t>B/S DIFFERENCE</t>
  </si>
  <si>
    <r>
      <t xml:space="preserve">Decrease / Increase in Other Current Asset. </t>
    </r>
    <r>
      <rPr>
        <b/>
        <sz val="10"/>
        <rFont val="Arial"/>
        <family val="2"/>
      </rPr>
      <t>[Asset Row No 47 to 49]</t>
    </r>
  </si>
  <si>
    <r>
      <t xml:space="preserve">Increase / Decrease in Trade Creditors </t>
    </r>
    <r>
      <rPr>
        <b/>
        <sz val="10"/>
        <rFont val="Arial"/>
        <family val="2"/>
      </rPr>
      <t>[Liab Row No 22, 24]</t>
    </r>
  </si>
  <si>
    <r>
      <t xml:space="preserve">Increase / Decrease in Other payables </t>
    </r>
    <r>
      <rPr>
        <b/>
        <sz val="10"/>
        <rFont val="Arial"/>
        <family val="2"/>
      </rPr>
      <t>[Liab Row No 26,28,30,32]</t>
    </r>
  </si>
  <si>
    <r>
      <t xml:space="preserve">Increase / Decrease in Other Current Liab </t>
    </r>
    <r>
      <rPr>
        <b/>
        <sz val="10"/>
        <rFont val="Arial"/>
        <family val="2"/>
      </rPr>
      <t>[Liab Row No 36 to 43]</t>
    </r>
  </si>
  <si>
    <r>
      <t>Decrease / Increase in Other Non-Current Asset.</t>
    </r>
    <r>
      <rPr>
        <b/>
        <sz val="10"/>
        <rFont val="Arial"/>
        <family val="2"/>
      </rPr>
      <t xml:space="preserve"> [Asset Row No 77 to 84]</t>
    </r>
  </si>
  <si>
    <r>
      <t xml:space="preserve">Increase / Decrease in Other Long Term Borrowing </t>
    </r>
    <r>
      <rPr>
        <b/>
        <sz val="10"/>
        <rFont val="Arial"/>
        <family val="2"/>
      </rPr>
      <t>[Liab Row No 61, 63, 67 to 72, 74]</t>
    </r>
  </si>
  <si>
    <r>
      <t xml:space="preserve">Increase / Decrease in USL </t>
    </r>
    <r>
      <rPr>
        <b/>
        <sz val="10"/>
        <rFont val="Arial"/>
        <family val="2"/>
      </rPr>
      <t>[Liab Row No 76]</t>
    </r>
  </si>
  <si>
    <r>
      <t>Increase / Decrease in Secured WC limits</t>
    </r>
    <r>
      <rPr>
        <b/>
        <sz val="10"/>
        <rFont val="Arial"/>
        <family val="2"/>
      </rPr>
      <t xml:space="preserve"> [Liab Row No 20]</t>
    </r>
  </si>
  <si>
    <t>(i) Share Premium Account</t>
  </si>
  <si>
    <t>Security Deposits</t>
  </si>
  <si>
    <r>
      <t xml:space="preserve">Increase / Decrease in Secured Loans </t>
    </r>
    <r>
      <rPr>
        <b/>
        <sz val="10"/>
        <rFont val="Arial"/>
        <family val="2"/>
      </rPr>
      <t>[Liab Row No 34, 65]</t>
    </r>
  </si>
  <si>
    <t>TL Intt (B)</t>
  </si>
  <si>
    <t xml:space="preserve">Cash Accrual (A) </t>
  </si>
  <si>
    <t>ADJUSTMENTS:</t>
  </si>
  <si>
    <t>Retained Profit/TA (%) $</t>
  </si>
  <si>
    <t>$ Retained profit is taken as "PAT - Dividend Payout"</t>
  </si>
  <si>
    <t>2. Adjustment in Cash Accrual would be made in cases where Internal Accrual is taken as part of 'Means of Finance' OR where repayment is starting / ending in b/w a financial year.</t>
  </si>
  <si>
    <t>1. DSCR is calculated for the period for which repayment is fed in the 'INTT &amp; REPAY' sheet</t>
  </si>
  <si>
    <t>DSCR CALCULATION #</t>
  </si>
  <si>
    <t>TOTAL INTT (TL+CC)</t>
  </si>
  <si>
    <r>
      <t xml:space="preserve">Decrease / Increase in Sundry Debtors </t>
    </r>
    <r>
      <rPr>
        <b/>
        <i/>
        <sz val="10"/>
        <rFont val="Arial"/>
        <family val="2"/>
      </rPr>
      <t>[Asset Sheet Row No 24, 26, 75-76]</t>
    </r>
  </si>
  <si>
    <t>Prior Year Expenses</t>
  </si>
  <si>
    <r>
      <t>Depreciation [</t>
    </r>
    <r>
      <rPr>
        <b/>
        <sz val="10"/>
        <rFont val="Arial"/>
        <family val="2"/>
      </rPr>
      <t>Oper St 47, input 15</t>
    </r>
    <r>
      <rPr>
        <sz val="10"/>
        <rFont val="Arial"/>
        <family val="2"/>
      </rPr>
      <t>]</t>
    </r>
  </si>
  <si>
    <r>
      <t xml:space="preserve">Decrease / Increase in Inventory </t>
    </r>
    <r>
      <rPr>
        <b/>
        <i/>
        <sz val="10"/>
        <rFont val="Arial"/>
        <family val="2"/>
      </rPr>
      <t>[Asset Row No 40, INPUT 16-17]</t>
    </r>
  </si>
  <si>
    <r>
      <t xml:space="preserve">Decrease / Increase inIntangibles incld. in pre-opr./Prel. expenses </t>
    </r>
    <r>
      <rPr>
        <b/>
        <i/>
        <sz val="10"/>
        <rFont val="Arial"/>
        <family val="2"/>
      </rPr>
      <t>NOT Written Off</t>
    </r>
  </si>
  <si>
    <r>
      <t xml:space="preserve">Increase / Decrease in Share Capital / Share Premium / Saher Application money </t>
    </r>
    <r>
      <rPr>
        <b/>
        <i/>
        <sz val="10"/>
        <rFont val="Arial"/>
        <family val="2"/>
      </rPr>
      <t>[Liab Row No 84, 88, 91, 93 to 94, 97]</t>
    </r>
  </si>
  <si>
    <t xml:space="preserve">Welcome to the NEW CMA WORKING SHEET (AS PER NEW FORMAT- S &amp; AS) </t>
  </si>
  <si>
    <t>CMA INPUT SHEET</t>
  </si>
  <si>
    <t>Data need to be filled in Light Green/Blue shaded cells wherever required</t>
  </si>
  <si>
    <t>DIFFERENCE IN CASH BALANCE, IF ANY</t>
  </si>
  <si>
    <t>CASH BALANCE AS PER ASSET SHEET</t>
  </si>
  <si>
    <t xml:space="preserve">There is a diff b/w term loan to be disbursed and total repayment amount which needs to be reconciled. </t>
  </si>
  <si>
    <t>TL REPAYABLE &lt; 1 YR               (to be treated as Curr. Liab. In the Previous yr B/S)</t>
  </si>
  <si>
    <t>DSCR (A+B / B+C)</t>
  </si>
  <si>
    <t>As per profit and loss account actuals/estimates/projections for the year ended/ending</t>
  </si>
  <si>
    <t xml:space="preserve">As per balance sheet for year ended/ending on </t>
  </si>
  <si>
    <t>For State Bank of India</t>
  </si>
  <si>
    <t>Total Indebtedness (a+f=g)</t>
  </si>
  <si>
    <r>
      <t xml:space="preserve">Sale / Purchase of fixed Asset &lt;OR&gt; Decrease / Increase in CWIP </t>
    </r>
    <r>
      <rPr>
        <b/>
        <sz val="10"/>
        <rFont val="Arial"/>
        <family val="2"/>
      </rPr>
      <t>[Asset Row No 60]</t>
    </r>
  </si>
  <si>
    <t>TOTAL TERM LIABILITIES (D) (Total of v to x)</t>
  </si>
  <si>
    <t>Net Worth (NW) (F) (Total of xi to xiii)</t>
  </si>
  <si>
    <t xml:space="preserve">ROE is calculated by "PAT/Average of last 2 years Equity (Share Capital + Premium + Share Application)" </t>
  </si>
  <si>
    <t xml:space="preserve">TL REPAYABLE &gt; 1 YR (to be part of Term Liab.) </t>
  </si>
  <si>
    <t>EXISTING CC LIMIT</t>
  </si>
  <si>
    <t xml:space="preserve">(In case of EPC Contractors/ Construction industry detailed assessment in respect of Guarantees issued for Bid bond, Mobilization, Performance, Retention, Other BGs be provided) </t>
  </si>
  <si>
    <t xml:space="preserve">Particulars </t>
  </si>
  <si>
    <t>Amount</t>
  </si>
  <si>
    <t xml:space="preserve">Success/ Strike rate         @ m %                              (B)     
(B) = A * m%       </t>
  </si>
  <si>
    <r>
      <rPr>
        <b/>
        <sz val="11"/>
        <color indexed="8"/>
        <rFont val="Arial"/>
        <family val="2"/>
      </rPr>
      <t xml:space="preserve">Bid Bonds </t>
    </r>
    <r>
      <rPr>
        <sz val="11"/>
        <color indexed="8"/>
        <rFont val="Arial"/>
        <family val="2"/>
      </rPr>
      <t>@ _n%  on  value  of  the  tenders  participated     – 
calculated  on  the  assumption  that  the EMD BGs  are  rotated 
once in p months.  [C = A * n% * p/12 ]                     (C)            
[ A=Total Value of Bid bonds, p = no of months]</t>
    </r>
  </si>
  <si>
    <t>BGs are routed once in (p) months</t>
  </si>
  <si>
    <r>
      <rPr>
        <b/>
        <sz val="11"/>
        <color indexed="8"/>
        <rFont val="Arial"/>
        <family val="2"/>
      </rPr>
      <t xml:space="preserve">Performance Guarantees </t>
    </r>
    <r>
      <rPr>
        <sz val="11"/>
        <color indexed="8"/>
        <rFont val="Arial"/>
        <family val="2"/>
      </rPr>
      <t xml:space="preserve">@  q% of item 2                 (D) 
[D= B * q% * nm/12 ] 
[where nm = no of months]   </t>
    </r>
  </si>
  <si>
    <t>No of months (nm)</t>
  </si>
  <si>
    <r>
      <rPr>
        <b/>
        <sz val="11"/>
        <color indexed="8"/>
        <rFont val="Arial"/>
        <family val="2"/>
      </rPr>
      <t>Mobilisation  advance guarantees</t>
    </r>
    <r>
      <rPr>
        <sz val="11"/>
        <color indexed="8"/>
        <rFont val="Arial"/>
        <family val="2"/>
      </rPr>
      <t xml:space="preserve"> @  r% of item 2   (E) 
[E= B * r% * nm/12 ] 
[where nm = no of months]   </t>
    </r>
  </si>
  <si>
    <r>
      <rPr>
        <b/>
        <sz val="11"/>
        <color indexed="8"/>
        <rFont val="Arial"/>
        <family val="2"/>
      </rPr>
      <t>Retention money guarantees</t>
    </r>
    <r>
      <rPr>
        <sz val="11"/>
        <color indexed="8"/>
        <rFont val="Arial"/>
        <family val="2"/>
      </rPr>
      <t xml:space="preserve"> @ _s% on completion of works 
for next  t   months                                                     (S)  
[ B* s%* nm/12] [where nm = no of months]   </t>
    </r>
  </si>
  <si>
    <t>Requirement of Guarantees for miscellaneous purposes</t>
  </si>
  <si>
    <t xml:space="preserve">Guarantees required for new &amp; existing projects (3+4+5+6+7) </t>
  </si>
  <si>
    <t xml:space="preserve">Total Bank Guarantees (8+9) </t>
  </si>
  <si>
    <t xml:space="preserve">Bank Guarantees required </t>
  </si>
  <si>
    <t>Net BG limit required</t>
  </si>
  <si>
    <t>Recommended</t>
  </si>
  <si>
    <t>% / M</t>
  </si>
  <si>
    <t>BG limit availed from Other Banks</t>
  </si>
  <si>
    <r>
      <rPr>
        <b/>
        <sz val="11"/>
        <color indexed="8"/>
        <rFont val="Arial"/>
        <family val="2"/>
      </rPr>
      <t>Add:</t>
    </r>
    <r>
      <rPr>
        <sz val="11"/>
        <color indexed="8"/>
        <rFont val="Arial"/>
        <family val="2"/>
      </rPr>
      <t xml:space="preserve"> Outstanding Bank Guarantees as on ……………………</t>
    </r>
  </si>
  <si>
    <r>
      <rPr>
        <b/>
        <sz val="11"/>
        <color indexed="8"/>
        <rFont val="Arial"/>
        <family val="2"/>
      </rPr>
      <t>Less:</t>
    </r>
    <r>
      <rPr>
        <sz val="11"/>
        <color indexed="8"/>
        <rFont val="Arial"/>
        <family val="2"/>
      </rPr>
      <t xml:space="preserve">  Bank  Guarantees  expiring  during  next …………...months including return of bid bonds  </t>
    </r>
  </si>
  <si>
    <t xml:space="preserve">Sensitivity Analysis is furnished for the year with operating profit nearest to the average operating profit. </t>
  </si>
  <si>
    <t>Breakeven- Sales (F/C*S)</t>
  </si>
  <si>
    <t xml:space="preserve">Breakeven- Sales (%) </t>
  </si>
  <si>
    <t>Breakeven- Installed Capacity (F/C*U)</t>
  </si>
  <si>
    <t>Cash Breakeven- Installed Capctiy (F-Dep/C*U)</t>
  </si>
  <si>
    <t>PROPOSED TL DETAILS          (1ST)</t>
  </si>
  <si>
    <t>PROPOSED TL DETAILS   (2ND)</t>
  </si>
  <si>
    <t>GRAND TOTAL</t>
  </si>
  <si>
    <t>INTT CAL (NEW-I)</t>
  </si>
  <si>
    <t>INTT CAL (NEW-II)</t>
  </si>
  <si>
    <t>&gt;REPAYMENT              SCHEDULE (TL-1)</t>
  </si>
  <si>
    <t>&gt;REPAYMENT                SCHEDULE (TL-2)</t>
  </si>
  <si>
    <t>&gt;REPAYMENT              SCHEDULE (TL-3)</t>
  </si>
  <si>
    <t>TL-I Amt (Ext.)</t>
  </si>
  <si>
    <t>TL-II Amt (Ext.)</t>
  </si>
  <si>
    <t>TL-III Amt (Ext.)</t>
  </si>
  <si>
    <t>&gt;REPAYMENT                   SCHEDULE (1ST)</t>
  </si>
  <si>
    <t>&gt;REPAYMENT              SCHEDULE (2ND)</t>
  </si>
  <si>
    <t>ENHANCED          PORTION</t>
  </si>
  <si>
    <t>&gt;DISBURSEMENT                 SCHEDULE (1ST)</t>
  </si>
  <si>
    <t>&gt;DISBURSEMENT                   SCHEDULE (2ND)</t>
  </si>
  <si>
    <t>Oprt. Profit as per Oprt. Stmt</t>
  </si>
  <si>
    <t>Oprt. Profit as per current sheet</t>
  </si>
  <si>
    <t>Diff in Oprt. Profit</t>
  </si>
  <si>
    <t>AVRG. DSCR</t>
  </si>
  <si>
    <t>c. Net cash from financing</t>
  </si>
  <si>
    <t>Rate of intt charged (A)</t>
  </si>
  <si>
    <t>$</t>
  </si>
  <si>
    <t>As per e-Circular No 931/2011-12 dated 18/01/12.</t>
  </si>
  <si>
    <t>@</t>
  </si>
  <si>
    <t xml:space="preserve">Capital Charge (H=G*  </t>
  </si>
  <si>
    <t>For MRFTP rates, kindly refer to e-Circular No 657/2011-12 dated 21/10/11 or visit ALM Dep. site for latest updates.</t>
  </si>
  <si>
    <t>i. Cash &amp; Bank Balance</t>
  </si>
  <si>
    <t>iii. Receivables (&lt; 6 months)</t>
  </si>
  <si>
    <t>v. Total Inventory</t>
  </si>
  <si>
    <t>vi.a. Other Current Asset.- Dues from Ass. &amp; Sub.</t>
  </si>
  <si>
    <t>TL-Others (payable &gt; 1 year)</t>
  </si>
  <si>
    <t>TL-SBI (payable &gt; 1 year)</t>
  </si>
  <si>
    <r>
      <t>Other term liabilties (</t>
    </r>
    <r>
      <rPr>
        <b/>
        <sz val="10"/>
        <rFont val="Arial"/>
        <family val="2"/>
      </rPr>
      <t>USL</t>
    </r>
    <r>
      <rPr>
        <sz val="10"/>
        <rFont val="Arial"/>
        <family val="2"/>
      </rPr>
      <t>)</t>
    </r>
  </si>
  <si>
    <t>iv. All Other Current Liabilities incld. Adavnce payment recvd.</t>
  </si>
  <si>
    <t>xii.Reserves &amp; Surplus incld Share Prem. (excld Reval. Res.)</t>
  </si>
  <si>
    <t>ii. LC/BG Margin &amp; Liquid Asset Incld FDs with Banks</t>
  </si>
  <si>
    <t>iv. Investments (Other than long term) incld Govt/Other Sec.</t>
  </si>
  <si>
    <t>LC/BG Margin / FDs with banks</t>
  </si>
  <si>
    <t>vi.b. Other Current Asset.- Others incld Adv payment made</t>
  </si>
  <si>
    <t>(Dues from Asso. &amp; Subd.)</t>
  </si>
  <si>
    <t>b. Other Investments (&gt; 12 months)</t>
  </si>
  <si>
    <t>Non Current Asset. (C) = (a to d)</t>
  </si>
  <si>
    <t>TOTAL CURRENT LIABILITIES (C)= (A+B)</t>
  </si>
  <si>
    <t xml:space="preserve">       b) Increase/Decrease in Share Prem/Other Reserves</t>
  </si>
  <si>
    <t xml:space="preserve">Net Cash Accruals </t>
  </si>
  <si>
    <t xml:space="preserve">Equity Funds </t>
  </si>
  <si>
    <t>d. Others Non-current assets</t>
  </si>
  <si>
    <t xml:space="preserve">Furnish Break-even analysis for: (i) the first full year of production and (ii) the year of maximum capacity utilisation. 
</t>
  </si>
  <si>
    <t>Procurement out of LC (%)</t>
  </si>
  <si>
    <t>Total Time (a + b)</t>
  </si>
  <si>
    <t>LC Limit required</t>
  </si>
  <si>
    <t>Recommended LC limit</t>
  </si>
  <si>
    <t>Total Purchases of RM (Esti/Proj)</t>
  </si>
  <si>
    <t>Frgn LC</t>
  </si>
  <si>
    <t>Dom. LC</t>
  </si>
  <si>
    <t xml:space="preserve">Total Value of tenders participated at any point of time–Next  12  months (A) </t>
  </si>
  <si>
    <t xml:space="preserve">Monthly RM purchases out of LC $ </t>
  </si>
  <si>
    <t>a) Usance (average) [months]</t>
  </si>
  <si>
    <t>b) Lead time (average) [months]</t>
  </si>
  <si>
    <t>For existing term loan, feed the remaining repayment details starting current year</t>
  </si>
  <si>
    <t>$ In case of Foreign LC, it should be net of duties.</t>
  </si>
  <si>
    <t>DO NOT put (%) or any other character (sign) with the input data</t>
  </si>
  <si>
    <t xml:space="preserve">This CMA working sheet is for Internal Circulation within the SBI Group and therefore </t>
  </si>
  <si>
    <t>should NOT be parted with any outsider.</t>
  </si>
  <si>
    <t>Projected Turnover</t>
  </si>
  <si>
    <t xml:space="preserve">Min. eligibility of WC limit </t>
  </si>
  <si>
    <t>Limit Recommended</t>
  </si>
  <si>
    <t>Total WC required @ 25%</t>
  </si>
  <si>
    <t>WC Margin @ 20%</t>
  </si>
  <si>
    <t xml:space="preserve">Assessment of WC limit as per Nayak Committee (for WC limit up to 5.00 cr in manufacturing sector):      </t>
  </si>
  <si>
    <t>Intt Coverage Ratio</t>
  </si>
  <si>
    <t>GDSCR</t>
  </si>
  <si>
    <t>For Non-corporate, TNW may be treated as PUC</t>
  </si>
  <si>
    <t>Term Loan Intt. Reset Trigger Ratio *</t>
  </si>
  <si>
    <t>Adverse Deviation</t>
  </si>
  <si>
    <t xml:space="preserve">* For Term Loan Reset clause pls refer to e-circular No 422/2011-12 dated 12/08/11 and its updates </t>
  </si>
  <si>
    <t xml:space="preserve">Total Assets </t>
  </si>
  <si>
    <t>TOL</t>
  </si>
  <si>
    <t>PAT/Net Sales</t>
  </si>
  <si>
    <t>Retained Profit</t>
  </si>
  <si>
    <t>Retained Profit / TA</t>
  </si>
  <si>
    <t>Net Cash Accruals (NCA)</t>
  </si>
  <si>
    <t>NCA / Total Debt</t>
  </si>
  <si>
    <t>PBDIT / Intt.</t>
  </si>
  <si>
    <t>CRA VALIDATION: REGULAR MODEL</t>
  </si>
  <si>
    <t>CRA VALIDATION: SIMPLIFIED MODEL</t>
  </si>
  <si>
    <t>0-94250-27630</t>
  </si>
  <si>
    <r>
      <t xml:space="preserve">Required data in the CMA sheets can be pasted from supplementary sheets using "Copy &gt; </t>
    </r>
    <r>
      <rPr>
        <b/>
        <u/>
        <sz val="10"/>
        <rFont val="Arial"/>
        <family val="2"/>
      </rPr>
      <t>Paste Special &gt; Values"</t>
    </r>
    <r>
      <rPr>
        <b/>
        <sz val="10"/>
        <rFont val="Arial"/>
        <family val="2"/>
      </rPr>
      <t xml:space="preserve"> command</t>
    </r>
  </si>
  <si>
    <t xml:space="preserve"> Assessment of WC limit as per Nayak Comm </t>
  </si>
  <si>
    <t>a)</t>
  </si>
  <si>
    <t>b)</t>
  </si>
  <si>
    <t>c)</t>
  </si>
  <si>
    <t>d)</t>
  </si>
  <si>
    <t xml:space="preserve">Estimates of last sanction </t>
  </si>
  <si>
    <t>Estimates of last sanction (for CRA Validation: addnl. ratios)</t>
  </si>
  <si>
    <t>Estimates of last sanction (for WC assessment)</t>
  </si>
  <si>
    <t>Estimates of last sanction (for TL Intt. Reset Trigger ratios)</t>
  </si>
  <si>
    <t xml:space="preserve">3. Since the Intt is calculated by the software based on repayment schedule fed, kindly make manual adjustments for intt for Current Financial Year. </t>
  </si>
  <si>
    <t>h. Review of Term Loan</t>
  </si>
  <si>
    <t>(Inventory/N.Sales)+ (Receivable/G.sales)- days</t>
  </si>
  <si>
    <t>SBI + OTHERS</t>
  </si>
  <si>
    <t>ONLY SBI</t>
  </si>
  <si>
    <t>ASSETS CHARGED TO OTHERS</t>
  </si>
  <si>
    <t xml:space="preserve">NET WDV OF FIXED ASSETS </t>
  </si>
  <si>
    <t> Assessment of Book-debt sub-limit</t>
  </si>
  <si>
    <t>Est./Proj. Book-debt level</t>
  </si>
  <si>
    <t>Margin @</t>
  </si>
  <si>
    <t xml:space="preserve">Min. eligibility for BD limit </t>
  </si>
  <si>
    <t xml:space="preserve">Min. eligibility for WC limit </t>
  </si>
  <si>
    <t xml:space="preserve">Assessment of Domestic Book Debt sub-limit:      </t>
  </si>
  <si>
    <t>PBT/N Sales (%)</t>
  </si>
  <si>
    <t>ROE(%)</t>
  </si>
  <si>
    <t>OPM [OP/NS](%)</t>
  </si>
  <si>
    <t>PAT/Net Sales(%)</t>
  </si>
  <si>
    <t>Retained Profit / TA(%)</t>
  </si>
  <si>
    <t>NCA / Total Debt(%)</t>
  </si>
  <si>
    <t>* For Term Loan Reset clause pls refer to e-circular No 422/2011-12 dated 12/08/11 and its updates.</t>
  </si>
  <si>
    <t>Deffered tax liabilities (DTL)</t>
  </si>
  <si>
    <t> Separate set of financial ratios for CRA Validation Proposal</t>
  </si>
  <si>
    <t> Security Margin calculation both on consolidated basis as well as on standalone basis for SBI</t>
  </si>
  <si>
    <t xml:space="preserve"> Term Loan Reset Trigger ratios to arrive at adverse deviation from Estimates </t>
  </si>
  <si>
    <t xml:space="preserve">One Blank sheet has been provided for use as per individual requirements </t>
  </si>
  <si>
    <t>TL Amt                                                (Repayment / Disbursement)</t>
  </si>
  <si>
    <t xml:space="preserve">Please fill the required information in the INPUT sheet </t>
  </si>
  <si>
    <t>Input required data in supplementary sheets like 'INTT &amp; REPAY', 'DEP', 'DSCR', 'SYNOPSIS', 'SENSITIVITY ANALYSIS', 'CASH FLOW', 'LC-BG', 'LIMIT', 'CEL' etc.</t>
  </si>
  <si>
    <t>Net Block [excluding Revaluation Reserves] (A)</t>
  </si>
  <si>
    <t xml:space="preserve">vii.Debentures, Redeemable Pref.Share(&lt;12 yrs),FCCB etc. </t>
  </si>
  <si>
    <t>Fixed Asset Coverage Ratio (FACR)</t>
  </si>
  <si>
    <t>Eligible Notional (higher of i / ii)</t>
  </si>
  <si>
    <t>Pr Year [a]</t>
  </si>
  <si>
    <t>Average [b]</t>
  </si>
  <si>
    <t>CEL SUMMARY</t>
  </si>
  <si>
    <t>TOTAL LIMIT (iv + v)</t>
  </si>
  <si>
    <t>2. Documentary Evidence Method-</t>
  </si>
  <si>
    <t>a. Exchange Rate Contract Revenue</t>
  </si>
  <si>
    <t>Forward Contract / Derivative Limit</t>
  </si>
  <si>
    <t>Exports</t>
  </si>
  <si>
    <t>Imports</t>
  </si>
  <si>
    <t>1. Past Performance (Revenue) Method</t>
  </si>
  <si>
    <t>SUB-TOTAL [{1 or 2(a)} + 2(b) + 3]</t>
  </si>
  <si>
    <t> Forward Contract / Derivative Limit Summary</t>
  </si>
  <si>
    <t>j) Computation of LC limits for WC</t>
  </si>
  <si>
    <t xml:space="preserve">i) Assessment of EPC / FBD limits: </t>
  </si>
  <si>
    <t xml:space="preserve">k) Assessment of BG limits for EPC Contractors / Construction Industry </t>
  </si>
  <si>
    <t>Est.</t>
  </si>
  <si>
    <t>Proj.</t>
  </si>
  <si>
    <t>Annual Export Sales</t>
  </si>
  <si>
    <t>Exports per month</t>
  </si>
  <si>
    <t>EPC limit recommended</t>
  </si>
  <si>
    <t>Less Margin</t>
  </si>
  <si>
    <t>EPC limit required</t>
  </si>
  <si>
    <t>Average Export receivables (in months)</t>
  </si>
  <si>
    <t>Total Requirement [A2x(A3+A4)]</t>
  </si>
  <si>
    <t>Total Export Finance required</t>
  </si>
  <si>
    <t>Total Export Finance recommended</t>
  </si>
  <si>
    <t>FBD limit recommended</t>
  </si>
  <si>
    <t>Average Processing Period (in months)</t>
  </si>
  <si>
    <t>Average RM holding (in months)</t>
  </si>
  <si>
    <t>FBD limit required [A2xB1]</t>
  </si>
  <si>
    <t>Capacity Utilization</t>
  </si>
  <si>
    <t>Net Profit</t>
  </si>
  <si>
    <t>Gross DSCR</t>
  </si>
  <si>
    <t>Average Gross DSCR</t>
  </si>
  <si>
    <t>Net DSCR</t>
  </si>
  <si>
    <t>TL Repayment (Existing)</t>
  </si>
  <si>
    <t>TL Repayment (Proposed)</t>
  </si>
  <si>
    <t>TL Interest</t>
  </si>
  <si>
    <t>i. b. COMMERCIAL VIABILITY</t>
  </si>
  <si>
    <t> Assessment of EPC / FBD limit</t>
  </si>
  <si>
    <t>Adjustment in SIP (Asset sheet)</t>
  </si>
  <si>
    <t>Adjustment in FG (Asset sheet)</t>
  </si>
  <si>
    <t> Provision for adjustment in inventory in case of obsolete/slow moving stocks</t>
  </si>
  <si>
    <r>
      <t>Please use "</t>
    </r>
    <r>
      <rPr>
        <b/>
        <u/>
        <sz val="10"/>
        <rFont val="Arial"/>
        <family val="2"/>
      </rPr>
      <t>Copy &gt; Paste Special &gt; Values</t>
    </r>
    <r>
      <rPr>
        <b/>
        <sz val="10"/>
        <rFont val="Arial"/>
        <family val="2"/>
      </rPr>
      <t xml:space="preserve">" command for transferring data from a previous CMA sheet so that cell property is not altered </t>
    </r>
  </si>
  <si>
    <t>2033-34</t>
  </si>
  <si>
    <t> Additional set of ratio for Commercial Viability in RATIO NEW sheet</t>
  </si>
  <si>
    <t>Following features added in the current version dated 01/10/12 vis-à-vis previous version dated 01-AUG-12.</t>
  </si>
  <si>
    <t>Capital Charge @</t>
  </si>
  <si>
    <t>(Factory wages and Salary)</t>
  </si>
  <si>
    <t>Direct labour / Salary</t>
  </si>
  <si>
    <t>(ii) Cons. stores &amp; spares</t>
  </si>
  <si>
    <t>(viii) Intt. on working capital</t>
  </si>
  <si>
    <t>(iv) Depreciation</t>
  </si>
  <si>
    <t>(vi) Intt. on TL, Deb. and DPC</t>
  </si>
  <si>
    <t>(iv) Direct labour / Salary</t>
  </si>
  <si>
    <t>(ii) Direct labour / Salary</t>
  </si>
  <si>
    <t>Other expenses</t>
  </si>
  <si>
    <t>(a) Repair &amp; Maintenance</t>
  </si>
  <si>
    <t>(b) Other Overheads</t>
  </si>
  <si>
    <t>(v) Repairs and Maintenance</t>
  </si>
  <si>
    <t>(vi) Other Overheads</t>
  </si>
  <si>
    <t>(iii) Other Overheads</t>
  </si>
  <si>
    <t>(vii) Selling,Gen.and Admn. Exp.</t>
  </si>
  <si>
    <t>(v) Selling,Gen.and Admn. Exp.</t>
  </si>
  <si>
    <t>Weightage for fixed expenses:</t>
  </si>
  <si>
    <t xml:space="preserve">Power / Electricity / Fuel </t>
  </si>
  <si>
    <t xml:space="preserve">(iii) Power / Electricity / Fuel </t>
  </si>
  <si>
    <t xml:space="preserve">(i) Power / Electricity / Fuel </t>
  </si>
  <si>
    <t>(iv) Selling,Gen.and Admn. Exp.</t>
  </si>
  <si>
    <t>Add PAT (post DTL / DTA)</t>
  </si>
  <si>
    <r>
      <rPr>
        <b/>
        <u/>
        <sz val="12"/>
        <rFont val="Arial"/>
        <family val="2"/>
      </rPr>
      <t>Disclaimer</t>
    </r>
    <r>
      <rPr>
        <b/>
        <sz val="12"/>
        <rFont val="Arial"/>
        <family val="2"/>
      </rPr>
      <t xml:space="preserve">:                 </t>
    </r>
    <r>
      <rPr>
        <b/>
        <sz val="10"/>
        <rFont val="Arial"/>
        <family val="2"/>
      </rPr>
      <t xml:space="preserve">                                                                                                              Please verify the data generated in the CMA with your manual working or with existing CMA working sheet suggested by the Bank. Incase of any discrepancy, be guided by Bank's instructions. Kindly also bring the discrepancy to my notice for further modifications.                                                                                                                             </t>
    </r>
  </si>
  <si>
    <t>VIKRAM PRIYAVART</t>
  </si>
  <si>
    <t>Developed by Vikram Priyavart, Chief Manager &amp; Credit Analyst, CPC, LHO, Bhopal. Email: vikram.p@sbi.co.in</t>
  </si>
  <si>
    <t>% MARGIN</t>
  </si>
  <si>
    <t xml:space="preserve">SBI TL OUTSTANDING </t>
  </si>
  <si>
    <t>SUB-LIMITS</t>
  </si>
  <si>
    <t>BOOK DEBT</t>
  </si>
  <si>
    <r>
      <t xml:space="preserve">For carrying out CRA kindly use CRA package available at </t>
    </r>
    <r>
      <rPr>
        <b/>
        <u/>
        <sz val="10"/>
        <rFont val="Arial"/>
        <family val="2"/>
      </rPr>
      <t>ftp://10.31.0.37</t>
    </r>
    <r>
      <rPr>
        <b/>
        <sz val="10"/>
        <rFont val="Arial"/>
        <family val="2"/>
      </rPr>
      <t xml:space="preserve"> &gt; CRA REVISED folder</t>
    </r>
  </si>
  <si>
    <t>Deduct Prior year expenses</t>
  </si>
  <si>
    <t xml:space="preserve">Add / Subtract change in intangible Asset. </t>
  </si>
  <si>
    <t xml:space="preserve">DIFFERENCE (ASSET - LIABILITY) </t>
  </si>
  <si>
    <t>MAR</t>
  </si>
  <si>
    <t>STOCKS</t>
  </si>
  <si>
    <t>RECEIVABLES</t>
  </si>
  <si>
    <t>h-i. ASSESSED BANK FINANCE (SEASONAL UNIT):</t>
  </si>
  <si>
    <t>% INCREASE / DECREASE IN TCA</t>
  </si>
  <si>
    <t>% INCREASE / DECREASE IN OCL</t>
  </si>
  <si>
    <t>% INCREASE / DECREASE IN NWC</t>
  </si>
  <si>
    <t>YEAR</t>
  </si>
  <si>
    <t>USL / CAPITAL</t>
  </si>
  <si>
    <t> Assessment of WC limit for Seasonal Unit</t>
  </si>
  <si>
    <t>SUNDRY CREDITORS</t>
  </si>
  <si>
    <t>% VARIATION FROM MAR LEVEL</t>
  </si>
  <si>
    <t>SEASON</t>
  </si>
  <si>
    <t>PEAK</t>
  </si>
  <si>
    <t>NON-PEAK</t>
  </si>
  <si>
    <t>HOLDING PATTERN (ACTUAL) LAST 12 MONTHS</t>
  </si>
  <si>
    <t>This CMA package constitutes a total of 19 excel sheets</t>
  </si>
  <si>
    <t>Note: The % change can be assessed from the variations in holding pattern as per the table below:</t>
  </si>
  <si>
    <t>ROE</t>
  </si>
  <si>
    <t>OPM (OP/NS)</t>
  </si>
  <si>
    <t xml:space="preserve">Opening SIP / FG in the Oprt. Stmt (2nd year onwards) appears when there is a figure in 'Net Sales' in the Oprt. Stmt. </t>
  </si>
  <si>
    <t>REPAY / DISB. DETAILS</t>
  </si>
  <si>
    <t>(Est. of last sanction)</t>
  </si>
  <si>
    <t>(ii) Other Reserves / Subsidy:</t>
  </si>
  <si>
    <t>NCA / Total Debt (TOL)</t>
  </si>
  <si>
    <t>Intt Cov. Ratio (ICR)</t>
  </si>
  <si>
    <t>PBDIT / Intt. (ICR)</t>
  </si>
  <si>
    <t>Intt Coverage Ratio (ICR)</t>
  </si>
  <si>
    <t>* Adverse (negative) deviation by more than 20%, in any two of the above parameters in the year will trigger re-pricing of term loan.</t>
  </si>
  <si>
    <t>ABF/Gross Sales (%)</t>
  </si>
  <si>
    <t>Interest / Cost of Sales (%)</t>
  </si>
  <si>
    <t>All Others(OtherTerm Liab)</t>
  </si>
  <si>
    <t>Equity Funds (Net Worth)</t>
  </si>
  <si>
    <t>YEAR 15</t>
  </si>
  <si>
    <t>YEAR 16</t>
  </si>
  <si>
    <t>YEAR 17</t>
  </si>
  <si>
    <t>YEAR 18</t>
  </si>
  <si>
    <t>YEAR 19</t>
  </si>
  <si>
    <t>YEAR 20</t>
  </si>
  <si>
    <t>2034-35</t>
  </si>
  <si>
    <t>JUNE</t>
  </si>
  <si>
    <t>JULY</t>
  </si>
  <si>
    <t>Date: 01-NOV-2012</t>
  </si>
  <si>
    <t>HOLDING PATTERN        MONTHS</t>
  </si>
  <si>
    <t>% VARIATION FROM BASE LEVEL</t>
  </si>
  <si>
    <t>Note: The WC assessment for seasonal unit is carried out by Cash Budget Method. It is suggested to prepare separate CMA working sheet for peak/non-peak season limit.</t>
  </si>
  <si>
    <t xml:space="preserve">The above assessment is to substantiate the Peak / Non-peak season WC requirement. </t>
  </si>
  <si>
    <t> Assessment period increased to 20 years (option available from 2007-08 to 2033-34) from 14 years earlier keeping in view of long term projects</t>
  </si>
  <si>
    <t>CM &amp; Credit Analyst, CPC, LHO, Bhopal</t>
  </si>
  <si>
    <t xml:space="preserve">Note: If we have fed previous 3 years actual data in the CMA sheet the first year Cash Flow data may not be required to be arrived at as only previous 2 years data is required to be reproduced in the proposal. </t>
  </si>
  <si>
    <t>Crores</t>
  </si>
  <si>
    <t>Capital Subsidy</t>
  </si>
  <si>
    <t>M/s BOTHANZI MEDICALS PVT LTD.</t>
  </si>
  <si>
    <t>Consultancy Business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</si>
</sst>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Red]0.00"/>
    <numFmt numFmtId="165" formatCode="\(0.00\)"/>
    <numFmt numFmtId="166" formatCode="0.00;\-0.00;;@"/>
    <numFmt numFmtId="167" formatCode="0.00%;\-0.00%;;@"/>
    <numFmt numFmtId="168" formatCode="[$-409]mmmm\-yy;@"/>
    <numFmt numFmtId="169" formatCode="0_);\(0\)"/>
  </numFmts>
  <fonts count="77" x14ac:knownFonts="1">
    <font>
      <sz val="10"/>
      <name val="Arial"/>
    </font>
    <font>
      <sz val="10"/>
      <name val="Arial"/>
    </font>
    <font>
      <sz val="8"/>
      <name val="Arial"/>
      <family val="2"/>
    </font>
    <font>
      <b/>
      <u/>
      <sz val="12"/>
      <color indexed="8"/>
      <name val="Arial"/>
      <family val="2"/>
    </font>
    <font>
      <b/>
      <sz val="10"/>
      <name val="Arial"/>
      <family val="2"/>
    </font>
    <font>
      <b/>
      <u/>
      <sz val="10"/>
      <name val="Arial"/>
      <family val="2"/>
    </font>
    <font>
      <sz val="10"/>
      <color indexed="61"/>
      <name val="Arial"/>
      <family val="2"/>
    </font>
    <font>
      <sz val="10"/>
      <color indexed="12"/>
      <name val="Arial"/>
      <family val="2"/>
    </font>
    <font>
      <sz val="10"/>
      <name val="Arial"/>
      <family val="2"/>
    </font>
    <font>
      <sz val="10"/>
      <color indexed="12"/>
      <name val="Arial"/>
      <family val="2"/>
    </font>
    <font>
      <sz val="9"/>
      <name val="Arial"/>
      <family val="2"/>
    </font>
    <font>
      <sz val="10"/>
      <color indexed="61"/>
      <name val="Arial"/>
      <family val="2"/>
    </font>
    <font>
      <u/>
      <sz val="10"/>
      <name val="Arial"/>
      <family val="2"/>
    </font>
    <font>
      <sz val="8"/>
      <color indexed="12"/>
      <name val="Arial"/>
      <family val="2"/>
    </font>
    <font>
      <sz val="9"/>
      <color indexed="12"/>
      <name val="Arial"/>
      <family val="2"/>
    </font>
    <font>
      <sz val="10"/>
      <color indexed="16"/>
      <name val="Arial"/>
      <family val="2"/>
    </font>
    <font>
      <u/>
      <sz val="10"/>
      <name val="Arial"/>
      <family val="2"/>
    </font>
    <font>
      <sz val="8"/>
      <name val="Arial"/>
      <family val="2"/>
    </font>
    <font>
      <sz val="10"/>
      <color indexed="18"/>
      <name val="Arial"/>
      <family val="2"/>
    </font>
    <font>
      <sz val="10"/>
      <color indexed="62"/>
      <name val="Arial"/>
      <family val="2"/>
    </font>
    <font>
      <sz val="10"/>
      <color indexed="54"/>
      <name val="Arial"/>
      <family val="2"/>
    </font>
    <font>
      <sz val="10"/>
      <color indexed="20"/>
      <name val="Arial"/>
      <family val="2"/>
    </font>
    <font>
      <sz val="10"/>
      <color indexed="8"/>
      <name val="Arial"/>
      <family val="2"/>
    </font>
    <font>
      <b/>
      <sz val="10"/>
      <color indexed="10"/>
      <name val="Arial"/>
      <family val="2"/>
    </font>
    <font>
      <sz val="10"/>
      <color indexed="10"/>
      <name val="Arial"/>
      <family val="2"/>
    </font>
    <font>
      <sz val="9"/>
      <name val="Arial"/>
      <family val="2"/>
    </font>
    <font>
      <b/>
      <sz val="9"/>
      <name val="Arial"/>
      <family val="2"/>
    </font>
    <font>
      <sz val="10"/>
      <color indexed="10"/>
      <name val="Arial"/>
      <family val="2"/>
    </font>
    <font>
      <sz val="10"/>
      <color indexed="8"/>
      <name val="Arial"/>
      <family val="2"/>
    </font>
    <font>
      <sz val="10"/>
      <name val="Arial"/>
      <family val="2"/>
    </font>
    <font>
      <sz val="11"/>
      <color indexed="8"/>
      <name val="Calibri"/>
      <family val="2"/>
    </font>
    <font>
      <sz val="11"/>
      <name val="Calibri"/>
      <family val="2"/>
    </font>
    <font>
      <b/>
      <sz val="10"/>
      <name val="Arial"/>
      <family val="2"/>
    </font>
    <font>
      <sz val="10"/>
      <name val="Arial"/>
      <family val="2"/>
    </font>
    <font>
      <b/>
      <sz val="11"/>
      <name val="Calibri"/>
      <family val="2"/>
    </font>
    <font>
      <b/>
      <sz val="11"/>
      <name val="Arial"/>
      <family val="2"/>
    </font>
    <font>
      <sz val="11"/>
      <name val="Arial"/>
      <family val="2"/>
    </font>
    <font>
      <b/>
      <sz val="11"/>
      <name val="Calibri"/>
      <family val="2"/>
    </font>
    <font>
      <sz val="11"/>
      <name val="Calibri"/>
      <family val="2"/>
    </font>
    <font>
      <b/>
      <i/>
      <sz val="10"/>
      <name val="Arial"/>
      <family val="2"/>
    </font>
    <font>
      <b/>
      <i/>
      <sz val="10"/>
      <name val="Arial"/>
      <family val="2"/>
    </font>
    <font>
      <sz val="10"/>
      <name val="Arial"/>
      <family val="2"/>
    </font>
    <font>
      <b/>
      <u/>
      <sz val="10"/>
      <name val="Arial"/>
      <family val="2"/>
    </font>
    <font>
      <b/>
      <sz val="10"/>
      <name val="Arial"/>
      <family val="2"/>
    </font>
    <font>
      <sz val="10"/>
      <name val="Arial"/>
      <family val="2"/>
    </font>
    <font>
      <b/>
      <i/>
      <sz val="11"/>
      <name val="Arial"/>
      <family val="2"/>
    </font>
    <font>
      <b/>
      <u/>
      <sz val="11"/>
      <name val="Arial"/>
      <family val="2"/>
    </font>
    <font>
      <b/>
      <u/>
      <sz val="11"/>
      <name val="Calibri"/>
      <family val="2"/>
    </font>
    <font>
      <b/>
      <sz val="12"/>
      <name val="Calibri"/>
      <family val="2"/>
    </font>
    <font>
      <b/>
      <sz val="10"/>
      <color indexed="81"/>
      <name val="Tahoma"/>
      <family val="2"/>
    </font>
    <font>
      <b/>
      <i/>
      <sz val="9"/>
      <name val="Arial"/>
      <family val="2"/>
    </font>
    <font>
      <b/>
      <sz val="11"/>
      <color indexed="10"/>
      <name val="Calibri"/>
      <family val="2"/>
    </font>
    <font>
      <b/>
      <sz val="14"/>
      <name val="Arial"/>
      <family val="2"/>
    </font>
    <font>
      <b/>
      <sz val="12"/>
      <name val="Arial"/>
      <family val="2"/>
    </font>
    <font>
      <sz val="12"/>
      <name val="Arial"/>
      <family val="2"/>
    </font>
    <font>
      <b/>
      <i/>
      <sz val="11"/>
      <name val="Calibri"/>
      <family val="2"/>
    </font>
    <font>
      <sz val="10"/>
      <color indexed="10"/>
      <name val="Arial"/>
      <family val="2"/>
    </font>
    <font>
      <b/>
      <sz val="10"/>
      <color indexed="10"/>
      <name val="Arial"/>
      <family val="2"/>
    </font>
    <font>
      <sz val="10"/>
      <color indexed="81"/>
      <name val="Tahoma"/>
      <family val="2"/>
    </font>
    <font>
      <sz val="10"/>
      <color indexed="10"/>
      <name val="Arial"/>
      <family val="2"/>
    </font>
    <font>
      <b/>
      <sz val="10"/>
      <color indexed="10"/>
      <name val="Arial"/>
      <family val="2"/>
    </font>
    <font>
      <b/>
      <i/>
      <sz val="12"/>
      <name val="Calibri"/>
      <family val="2"/>
    </font>
    <font>
      <b/>
      <sz val="11"/>
      <color indexed="8"/>
      <name val="Arial"/>
      <family val="2"/>
    </font>
    <font>
      <sz val="11"/>
      <color indexed="8"/>
      <name val="Arial"/>
      <family val="2"/>
    </font>
    <font>
      <i/>
      <sz val="11"/>
      <name val="Arial"/>
      <family val="2"/>
    </font>
    <font>
      <b/>
      <u/>
      <sz val="12"/>
      <name val="Arial"/>
      <family val="2"/>
    </font>
    <font>
      <sz val="11"/>
      <color indexed="10"/>
      <name val="Arial"/>
      <family val="2"/>
    </font>
    <font>
      <i/>
      <sz val="10"/>
      <name val="Arial"/>
      <family val="2"/>
    </font>
    <font>
      <i/>
      <sz val="11"/>
      <color indexed="12"/>
      <name val="Arial"/>
      <family val="2"/>
    </font>
    <font>
      <sz val="11"/>
      <color indexed="12"/>
      <name val="Arial"/>
      <family val="2"/>
    </font>
    <font>
      <b/>
      <sz val="8"/>
      <color indexed="81"/>
      <name val="Tahoma"/>
      <family val="2"/>
    </font>
    <font>
      <i/>
      <sz val="11"/>
      <color indexed="8"/>
      <name val="Arial"/>
      <family val="2"/>
    </font>
    <font>
      <b/>
      <i/>
      <sz val="12"/>
      <name val="Arial"/>
      <family val="2"/>
    </font>
    <font>
      <sz val="10"/>
      <name val="Arial"/>
      <family val="2"/>
    </font>
    <font>
      <u/>
      <sz val="14"/>
      <name val="Arial"/>
      <family val="2"/>
    </font>
    <font>
      <b/>
      <sz val="10"/>
      <name val="Calibri"/>
      <family val="2"/>
    </font>
    <font>
      <b/>
      <sz val="10"/>
      <color indexed="10"/>
      <name val="Arial"/>
      <family val="2"/>
    </font>
  </fonts>
  <fills count="16">
    <fill>
      <patternFill patternType="none"/>
    </fill>
    <fill>
      <patternFill patternType="gray125"/>
    </fill>
    <fill>
      <patternFill patternType="solid">
        <fgColor indexed="8"/>
        <bgColor indexed="64"/>
      </patternFill>
    </fill>
    <fill>
      <patternFill patternType="solid">
        <fgColor indexed="41"/>
        <bgColor indexed="64"/>
      </patternFill>
    </fill>
    <fill>
      <patternFill patternType="solid">
        <fgColor indexed="9"/>
        <bgColor indexed="64"/>
      </patternFill>
    </fill>
    <fill>
      <patternFill patternType="solid">
        <fgColor indexed="45"/>
        <bgColor indexed="64"/>
      </patternFill>
    </fill>
    <fill>
      <patternFill patternType="solid">
        <fgColor indexed="65"/>
        <bgColor indexed="64"/>
      </patternFill>
    </fill>
    <fill>
      <patternFill patternType="solid">
        <fgColor indexed="13"/>
        <bgColor indexed="64"/>
      </patternFill>
    </fill>
    <fill>
      <patternFill patternType="solid">
        <fgColor indexed="43"/>
        <bgColor indexed="64"/>
      </patternFill>
    </fill>
    <fill>
      <patternFill patternType="solid">
        <fgColor indexed="27"/>
        <bgColor indexed="64"/>
      </patternFill>
    </fill>
    <fill>
      <patternFill patternType="solid">
        <fgColor indexed="50"/>
        <bgColor indexed="64"/>
      </patternFill>
    </fill>
    <fill>
      <patternFill patternType="solid">
        <fgColor indexed="44"/>
        <bgColor indexed="64"/>
      </patternFill>
    </fill>
    <fill>
      <patternFill patternType="solid">
        <fgColor indexed="46"/>
        <bgColor indexed="64"/>
      </patternFill>
    </fill>
    <fill>
      <patternFill patternType="solid">
        <fgColor indexed="15"/>
        <bgColor indexed="64"/>
      </patternFill>
    </fill>
    <fill>
      <patternFill patternType="solid">
        <fgColor indexed="49"/>
        <bgColor indexed="64"/>
      </patternFill>
    </fill>
    <fill>
      <patternFill patternType="solid">
        <fgColor indexed="14"/>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0" fontId="8" fillId="0" borderId="0"/>
    <xf numFmtId="0" fontId="30" fillId="0" borderId="0"/>
    <xf numFmtId="9" fontId="1" fillId="0" borderId="0" applyFont="0" applyFill="0" applyBorder="0" applyAlignment="0" applyProtection="0"/>
  </cellStyleXfs>
  <cellXfs count="1164">
    <xf numFmtId="0" fontId="0" fillId="0" borderId="0" xfId="0"/>
    <xf numFmtId="0" fontId="0" fillId="2" borderId="0" xfId="0" applyFill="1" applyProtection="1">
      <protection hidden="1"/>
    </xf>
    <xf numFmtId="1" fontId="0" fillId="3" borderId="1" xfId="0" applyNumberFormat="1" applyFill="1" applyBorder="1" applyAlignment="1" applyProtection="1">
      <alignment horizontal="center"/>
      <protection locked="0"/>
    </xf>
    <xf numFmtId="0" fontId="0" fillId="4" borderId="0" xfId="0" applyFill="1" applyProtection="1">
      <protection hidden="1"/>
    </xf>
    <xf numFmtId="0" fontId="17" fillId="4" borderId="0" xfId="0" applyFont="1" applyFill="1" applyProtection="1">
      <protection hidden="1"/>
    </xf>
    <xf numFmtId="0" fontId="4" fillId="4" borderId="0" xfId="0" applyFont="1" applyFill="1" applyProtection="1">
      <protection hidden="1"/>
    </xf>
    <xf numFmtId="0" fontId="10" fillId="4" borderId="0" xfId="0" applyFont="1" applyFill="1" applyProtection="1">
      <protection hidden="1"/>
    </xf>
    <xf numFmtId="0" fontId="8" fillId="4" borderId="0" xfId="0" applyFont="1" applyFill="1" applyAlignment="1" applyProtection="1">
      <alignment horizontal="right"/>
      <protection hidden="1"/>
    </xf>
    <xf numFmtId="0" fontId="10" fillId="4" borderId="2" xfId="0" applyFont="1" applyFill="1" applyBorder="1" applyAlignment="1" applyProtection="1">
      <alignment horizontal="center"/>
      <protection hidden="1"/>
    </xf>
    <xf numFmtId="0" fontId="10" fillId="4" borderId="3" xfId="0" applyFont="1" applyFill="1" applyBorder="1" applyAlignment="1" applyProtection="1">
      <alignment horizontal="center"/>
      <protection hidden="1"/>
    </xf>
    <xf numFmtId="0" fontId="5" fillId="4" borderId="0" xfId="0" applyFont="1" applyFill="1" applyProtection="1">
      <protection hidden="1"/>
    </xf>
    <xf numFmtId="0" fontId="10" fillId="4" borderId="4" xfId="0" applyFont="1" applyFill="1" applyBorder="1" applyAlignment="1" applyProtection="1">
      <alignment horizontal="center"/>
      <protection hidden="1"/>
    </xf>
    <xf numFmtId="0" fontId="0" fillId="4" borderId="2" xfId="0" applyFill="1" applyBorder="1" applyProtection="1">
      <protection hidden="1"/>
    </xf>
    <xf numFmtId="0" fontId="0" fillId="4" borderId="5" xfId="0" applyFill="1" applyBorder="1" applyProtection="1">
      <protection hidden="1"/>
    </xf>
    <xf numFmtId="2" fontId="0" fillId="4" borderId="3" xfId="0" applyNumberFormat="1" applyFill="1" applyBorder="1" applyProtection="1">
      <protection hidden="1"/>
    </xf>
    <xf numFmtId="0" fontId="0" fillId="4" borderId="0" xfId="0" quotePrefix="1" applyFill="1" applyAlignment="1" applyProtection="1">
      <alignment horizontal="left"/>
      <protection hidden="1"/>
    </xf>
    <xf numFmtId="2" fontId="0" fillId="4" borderId="0" xfId="0" applyNumberFormat="1" applyFill="1" applyProtection="1">
      <protection hidden="1"/>
    </xf>
    <xf numFmtId="2" fontId="0" fillId="2" borderId="0" xfId="0" applyNumberFormat="1" applyFill="1" applyProtection="1">
      <protection hidden="1"/>
    </xf>
    <xf numFmtId="2" fontId="0" fillId="4" borderId="4" xfId="0" applyNumberFormat="1" applyFill="1" applyBorder="1" applyProtection="1">
      <protection hidden="1"/>
    </xf>
    <xf numFmtId="2" fontId="0" fillId="4" borderId="2" xfId="0" applyNumberFormat="1" applyFill="1" applyBorder="1" applyProtection="1">
      <protection hidden="1"/>
    </xf>
    <xf numFmtId="0" fontId="0" fillId="4" borderId="3" xfId="0" applyFill="1" applyBorder="1" applyProtection="1">
      <protection hidden="1"/>
    </xf>
    <xf numFmtId="0" fontId="0" fillId="4" borderId="6" xfId="0" applyFill="1" applyBorder="1" applyProtection="1">
      <protection hidden="1"/>
    </xf>
    <xf numFmtId="0" fontId="23" fillId="4" borderId="0" xfId="0" applyFont="1" applyFill="1" applyProtection="1">
      <protection hidden="1"/>
    </xf>
    <xf numFmtId="2" fontId="24" fillId="4" borderId="2" xfId="0" applyNumberFormat="1" applyFont="1" applyFill="1" applyBorder="1" applyProtection="1">
      <protection hidden="1"/>
    </xf>
    <xf numFmtId="2" fontId="18" fillId="4" borderId="4" xfId="0" applyNumberFormat="1" applyFont="1" applyFill="1" applyBorder="1" applyProtection="1">
      <protection hidden="1"/>
    </xf>
    <xf numFmtId="0" fontId="2" fillId="4" borderId="0" xfId="0" applyFont="1" applyFill="1" applyProtection="1">
      <protection hidden="1"/>
    </xf>
    <xf numFmtId="0" fontId="25" fillId="4" borderId="0" xfId="0" applyFont="1" applyFill="1" applyProtection="1">
      <protection hidden="1"/>
    </xf>
    <xf numFmtId="0" fontId="0" fillId="4" borderId="7" xfId="0" applyFill="1" applyBorder="1" applyProtection="1">
      <protection hidden="1"/>
    </xf>
    <xf numFmtId="0" fontId="25" fillId="4" borderId="2" xfId="0" applyFont="1" applyFill="1" applyBorder="1" applyAlignment="1" applyProtection="1">
      <alignment horizontal="right"/>
      <protection hidden="1"/>
    </xf>
    <xf numFmtId="0" fontId="25" fillId="4" borderId="2" xfId="0" applyFont="1" applyFill="1" applyBorder="1" applyAlignment="1" applyProtection="1">
      <alignment horizontal="center"/>
      <protection hidden="1"/>
    </xf>
    <xf numFmtId="0" fontId="0" fillId="4" borderId="8" xfId="0" applyFill="1" applyBorder="1" applyProtection="1">
      <protection hidden="1"/>
    </xf>
    <xf numFmtId="0" fontId="25" fillId="4" borderId="3" xfId="0" applyFont="1" applyFill="1" applyBorder="1" applyAlignment="1" applyProtection="1">
      <alignment horizontal="center"/>
      <protection hidden="1"/>
    </xf>
    <xf numFmtId="0" fontId="0" fillId="4" borderId="9" xfId="0" applyFill="1" applyBorder="1" applyProtection="1">
      <protection hidden="1"/>
    </xf>
    <xf numFmtId="0" fontId="0" fillId="4" borderId="10" xfId="0" applyFill="1" applyBorder="1" applyProtection="1">
      <protection hidden="1"/>
    </xf>
    <xf numFmtId="0" fontId="0" fillId="4" borderId="4" xfId="0" applyFill="1" applyBorder="1" applyProtection="1">
      <protection hidden="1"/>
    </xf>
    <xf numFmtId="0" fontId="25" fillId="4" borderId="4" xfId="0" applyFont="1" applyFill="1" applyBorder="1" applyAlignment="1" applyProtection="1">
      <alignment horizontal="center"/>
      <protection hidden="1"/>
    </xf>
    <xf numFmtId="0" fontId="4" fillId="4" borderId="6" xfId="0" applyFont="1" applyFill="1" applyBorder="1" applyProtection="1">
      <protection hidden="1"/>
    </xf>
    <xf numFmtId="10" fontId="0" fillId="4" borderId="3" xfId="0" applyNumberFormat="1" applyFill="1" applyBorder="1" applyProtection="1">
      <protection hidden="1"/>
    </xf>
    <xf numFmtId="0" fontId="4" fillId="4" borderId="8" xfId="0" applyFont="1" applyFill="1" applyBorder="1" applyProtection="1">
      <protection hidden="1"/>
    </xf>
    <xf numFmtId="2" fontId="0" fillId="4" borderId="1" xfId="0" applyNumberFormat="1" applyFill="1" applyBorder="1" applyProtection="1">
      <protection hidden="1"/>
    </xf>
    <xf numFmtId="0" fontId="26" fillId="4" borderId="3" xfId="0" applyFont="1" applyFill="1" applyBorder="1" applyProtection="1">
      <protection hidden="1"/>
    </xf>
    <xf numFmtId="0" fontId="27" fillId="4" borderId="3" xfId="0" applyFont="1" applyFill="1" applyBorder="1" applyAlignment="1" applyProtection="1">
      <alignment horizontal="right"/>
      <protection hidden="1"/>
    </xf>
    <xf numFmtId="164" fontId="0" fillId="4" borderId="3" xfId="0" applyNumberFormat="1" applyFill="1" applyBorder="1" applyProtection="1">
      <protection hidden="1"/>
    </xf>
    <xf numFmtId="2" fontId="28" fillId="2" borderId="0" xfId="0" applyNumberFormat="1" applyFont="1" applyFill="1" applyProtection="1">
      <protection hidden="1"/>
    </xf>
    <xf numFmtId="2" fontId="4" fillId="4" borderId="1" xfId="0" applyNumberFormat="1" applyFont="1" applyFill="1" applyBorder="1" applyProtection="1">
      <protection hidden="1"/>
    </xf>
    <xf numFmtId="9" fontId="0" fillId="4" borderId="3" xfId="0" applyNumberFormat="1" applyFill="1" applyBorder="1" applyProtection="1">
      <protection hidden="1"/>
    </xf>
    <xf numFmtId="10" fontId="1" fillId="4" borderId="3" xfId="3" applyNumberFormat="1" applyFill="1" applyBorder="1" applyProtection="1">
      <protection hidden="1"/>
    </xf>
    <xf numFmtId="0" fontId="4" fillId="4" borderId="9" xfId="0" applyFont="1" applyFill="1" applyBorder="1" applyProtection="1">
      <protection hidden="1"/>
    </xf>
    <xf numFmtId="0" fontId="4" fillId="4" borderId="10" xfId="0" applyFont="1" applyFill="1" applyBorder="1" applyProtection="1">
      <protection hidden="1"/>
    </xf>
    <xf numFmtId="10" fontId="0" fillId="4" borderId="4" xfId="0" applyNumberFormat="1" applyFill="1" applyBorder="1" applyProtection="1">
      <protection hidden="1"/>
    </xf>
    <xf numFmtId="0" fontId="27" fillId="4" borderId="0" xfId="0" applyFont="1" applyFill="1" applyAlignment="1" applyProtection="1">
      <alignment horizontal="right"/>
      <protection hidden="1"/>
    </xf>
    <xf numFmtId="0" fontId="27" fillId="4" borderId="0" xfId="0" applyFont="1" applyFill="1" applyProtection="1">
      <protection hidden="1"/>
    </xf>
    <xf numFmtId="0" fontId="25" fillId="4" borderId="7" xfId="0" applyFont="1" applyFill="1" applyBorder="1" applyProtection="1">
      <protection hidden="1"/>
    </xf>
    <xf numFmtId="0" fontId="25" fillId="4" borderId="5" xfId="0" applyFont="1" applyFill="1" applyBorder="1" applyAlignment="1" applyProtection="1">
      <alignment horizontal="right"/>
      <protection hidden="1"/>
    </xf>
    <xf numFmtId="0" fontId="25" fillId="4" borderId="5" xfId="0" applyFont="1" applyFill="1" applyBorder="1" applyAlignment="1" applyProtection="1">
      <alignment horizontal="center"/>
      <protection hidden="1"/>
    </xf>
    <xf numFmtId="0" fontId="25" fillId="4" borderId="8" xfId="0" applyFont="1" applyFill="1" applyBorder="1" applyProtection="1">
      <protection hidden="1"/>
    </xf>
    <xf numFmtId="0" fontId="25" fillId="4" borderId="6" xfId="0" applyFont="1" applyFill="1" applyBorder="1" applyProtection="1">
      <protection hidden="1"/>
    </xf>
    <xf numFmtId="0" fontId="25" fillId="4" borderId="6" xfId="0" applyFont="1" applyFill="1" applyBorder="1" applyAlignment="1" applyProtection="1">
      <alignment horizontal="center"/>
      <protection hidden="1"/>
    </xf>
    <xf numFmtId="0" fontId="25" fillId="4" borderId="9" xfId="0" applyFont="1" applyFill="1" applyBorder="1" applyProtection="1">
      <protection hidden="1"/>
    </xf>
    <xf numFmtId="0" fontId="25" fillId="4" borderId="10" xfId="0" applyFont="1" applyFill="1" applyBorder="1" applyProtection="1">
      <protection hidden="1"/>
    </xf>
    <xf numFmtId="0" fontId="25" fillId="4" borderId="10" xfId="0" applyFont="1" applyFill="1" applyBorder="1" applyAlignment="1" applyProtection="1">
      <alignment horizontal="center"/>
      <protection hidden="1"/>
    </xf>
    <xf numFmtId="0" fontId="0" fillId="4" borderId="11" xfId="0" applyFill="1" applyBorder="1" applyProtection="1">
      <protection hidden="1"/>
    </xf>
    <xf numFmtId="0" fontId="0" fillId="4" borderId="12" xfId="0" applyFill="1" applyBorder="1" applyProtection="1">
      <protection hidden="1"/>
    </xf>
    <xf numFmtId="0" fontId="0" fillId="4" borderId="1" xfId="0" applyFill="1" applyBorder="1" applyProtection="1">
      <protection hidden="1"/>
    </xf>
    <xf numFmtId="0" fontId="0" fillId="4" borderId="13" xfId="0" applyFill="1" applyBorder="1" applyProtection="1">
      <protection hidden="1"/>
    </xf>
    <xf numFmtId="10" fontId="1" fillId="4" borderId="1" xfId="3" applyNumberFormat="1" applyFill="1" applyBorder="1" applyProtection="1">
      <protection hidden="1"/>
    </xf>
    <xf numFmtId="0" fontId="36" fillId="5" borderId="1" xfId="2" applyFont="1" applyFill="1" applyBorder="1" applyProtection="1">
      <protection hidden="1"/>
    </xf>
    <xf numFmtId="2" fontId="36" fillId="0" borderId="1" xfId="2" applyNumberFormat="1" applyFont="1" applyBorder="1" applyAlignment="1" applyProtection="1">
      <alignment horizontal="center"/>
      <protection hidden="1"/>
    </xf>
    <xf numFmtId="164" fontId="36" fillId="0" borderId="1" xfId="2" applyNumberFormat="1" applyFont="1" applyBorder="1" applyAlignment="1" applyProtection="1">
      <alignment horizontal="center"/>
      <protection hidden="1"/>
    </xf>
    <xf numFmtId="2" fontId="35" fillId="5" borderId="1" xfId="2" applyNumberFormat="1" applyFont="1" applyFill="1" applyBorder="1" applyAlignment="1" applyProtection="1">
      <alignment horizontal="center"/>
      <protection hidden="1"/>
    </xf>
    <xf numFmtId="0" fontId="4" fillId="6" borderId="0" xfId="0" applyFont="1" applyFill="1"/>
    <xf numFmtId="0" fontId="4" fillId="5" borderId="11" xfId="1" applyFont="1" applyFill="1" applyBorder="1"/>
    <xf numFmtId="0" fontId="4" fillId="5" borderId="12" xfId="0" applyFont="1" applyFill="1" applyBorder="1"/>
    <xf numFmtId="2" fontId="8" fillId="0" borderId="1" xfId="0" applyNumberFormat="1" applyFont="1" applyBorder="1" applyAlignment="1" applyProtection="1">
      <alignment horizontal="center"/>
      <protection hidden="1"/>
    </xf>
    <xf numFmtId="2" fontId="4" fillId="0" borderId="1" xfId="0" applyNumberFormat="1" applyFont="1" applyBorder="1" applyAlignment="1" applyProtection="1">
      <alignment horizontal="center"/>
      <protection hidden="1"/>
    </xf>
    <xf numFmtId="0" fontId="8" fillId="0" borderId="0" xfId="0" applyFont="1" applyProtection="1">
      <protection hidden="1"/>
    </xf>
    <xf numFmtId="10" fontId="8" fillId="0" borderId="1" xfId="0" applyNumberFormat="1" applyFont="1" applyBorder="1" applyAlignment="1" applyProtection="1">
      <alignment horizontal="center"/>
      <protection hidden="1"/>
    </xf>
    <xf numFmtId="0" fontId="8" fillId="5" borderId="1" xfId="0" applyFont="1" applyFill="1" applyBorder="1" applyAlignment="1" applyProtection="1">
      <alignment horizontal="left"/>
      <protection hidden="1"/>
    </xf>
    <xf numFmtId="0" fontId="4" fillId="0" borderId="0" xfId="0" applyFont="1" applyProtection="1">
      <protection hidden="1"/>
    </xf>
    <xf numFmtId="2" fontId="36" fillId="0" borderId="0" xfId="2" applyNumberFormat="1" applyFont="1" applyAlignment="1" applyProtection="1">
      <alignment horizontal="left"/>
      <protection hidden="1"/>
    </xf>
    <xf numFmtId="1" fontId="35" fillId="5" borderId="1" xfId="2" applyNumberFormat="1" applyFont="1" applyFill="1" applyBorder="1" applyAlignment="1" applyProtection="1">
      <alignment horizontal="center"/>
      <protection hidden="1"/>
    </xf>
    <xf numFmtId="1" fontId="35" fillId="0" borderId="0" xfId="2" applyNumberFormat="1" applyFont="1" applyAlignment="1" applyProtection="1">
      <alignment horizontal="left"/>
      <protection hidden="1"/>
    </xf>
    <xf numFmtId="2" fontId="35" fillId="5" borderId="1" xfId="2" applyNumberFormat="1" applyFont="1" applyFill="1" applyBorder="1" applyAlignment="1" applyProtection="1">
      <alignment horizontal="left"/>
      <protection hidden="1"/>
    </xf>
    <xf numFmtId="2" fontId="35" fillId="0" borderId="0" xfId="2" applyNumberFormat="1" applyFont="1" applyAlignment="1" applyProtection="1">
      <alignment horizontal="left"/>
      <protection hidden="1"/>
    </xf>
    <xf numFmtId="10" fontId="36" fillId="5" borderId="1" xfId="2" applyNumberFormat="1" applyFont="1" applyFill="1" applyBorder="1" applyAlignment="1" applyProtection="1">
      <alignment horizontal="center" wrapText="1"/>
      <protection hidden="1"/>
    </xf>
    <xf numFmtId="2" fontId="35" fillId="5" borderId="1" xfId="2" applyNumberFormat="1" applyFont="1" applyFill="1" applyBorder="1" applyAlignment="1" applyProtection="1">
      <alignment horizontal="left" vertical="top" wrapText="1"/>
      <protection hidden="1"/>
    </xf>
    <xf numFmtId="2" fontId="35" fillId="0" borderId="1" xfId="2" applyNumberFormat="1" applyFont="1" applyBorder="1" applyAlignment="1" applyProtection="1">
      <alignment horizontal="center"/>
      <protection hidden="1"/>
    </xf>
    <xf numFmtId="2" fontId="36" fillId="5" borderId="1" xfId="2" applyNumberFormat="1" applyFont="1" applyFill="1" applyBorder="1" applyAlignment="1" applyProtection="1">
      <alignment horizontal="left"/>
      <protection hidden="1"/>
    </xf>
    <xf numFmtId="10" fontId="36" fillId="0" borderId="1" xfId="2" applyNumberFormat="1" applyFont="1" applyBorder="1" applyAlignment="1" applyProtection="1">
      <alignment horizontal="center"/>
      <protection hidden="1"/>
    </xf>
    <xf numFmtId="2" fontId="35" fillId="0" borderId="1" xfId="2" applyNumberFormat="1" applyFont="1" applyBorder="1" applyAlignment="1" applyProtection="1">
      <alignment horizontal="left"/>
      <protection hidden="1"/>
    </xf>
    <xf numFmtId="2" fontId="36" fillId="0" borderId="1" xfId="2" applyNumberFormat="1" applyFont="1" applyBorder="1" applyAlignment="1" applyProtection="1">
      <alignment horizontal="left"/>
      <protection hidden="1"/>
    </xf>
    <xf numFmtId="2" fontId="36" fillId="0" borderId="0" xfId="2" applyNumberFormat="1" applyFont="1" applyAlignment="1" applyProtection="1">
      <alignment horizontal="center"/>
      <protection hidden="1"/>
    </xf>
    <xf numFmtId="2" fontId="35" fillId="0" borderId="0" xfId="2" applyNumberFormat="1" applyFont="1" applyAlignment="1" applyProtection="1">
      <alignment horizontal="center"/>
      <protection hidden="1"/>
    </xf>
    <xf numFmtId="2" fontId="38" fillId="0" borderId="0" xfId="2" applyNumberFormat="1" applyFont="1" applyAlignment="1" applyProtection="1">
      <alignment horizontal="left"/>
      <protection hidden="1"/>
    </xf>
    <xf numFmtId="2" fontId="34" fillId="0" borderId="0" xfId="2" applyNumberFormat="1" applyFont="1" applyAlignment="1" applyProtection="1">
      <alignment horizontal="left"/>
      <protection hidden="1"/>
    </xf>
    <xf numFmtId="168" fontId="38" fillId="5" borderId="1" xfId="2" applyNumberFormat="1" applyFont="1" applyFill="1" applyBorder="1" applyAlignment="1" applyProtection="1">
      <alignment horizontal="left"/>
      <protection hidden="1"/>
    </xf>
    <xf numFmtId="2" fontId="34" fillId="5" borderId="1" xfId="2" applyNumberFormat="1" applyFont="1" applyFill="1" applyBorder="1" applyAlignment="1" applyProtection="1">
      <alignment horizontal="center"/>
      <protection hidden="1"/>
    </xf>
    <xf numFmtId="2" fontId="38" fillId="5" borderId="1" xfId="2" applyNumberFormat="1" applyFont="1" applyFill="1" applyBorder="1" applyAlignment="1" applyProtection="1">
      <alignment horizontal="center"/>
      <protection hidden="1"/>
    </xf>
    <xf numFmtId="168" fontId="34" fillId="5" borderId="1" xfId="2" applyNumberFormat="1" applyFont="1" applyFill="1" applyBorder="1" applyAlignment="1" applyProtection="1">
      <alignment horizontal="left"/>
      <protection hidden="1"/>
    </xf>
    <xf numFmtId="2" fontId="34" fillId="0" borderId="1" xfId="2" applyNumberFormat="1" applyFont="1" applyBorder="1" applyAlignment="1" applyProtection="1">
      <alignment horizontal="center"/>
      <protection hidden="1"/>
    </xf>
    <xf numFmtId="0" fontId="36" fillId="0" borderId="0" xfId="0" applyFont="1" applyAlignment="1" applyProtection="1">
      <alignment horizontal="left"/>
      <protection hidden="1"/>
    </xf>
    <xf numFmtId="1" fontId="37" fillId="5" borderId="1" xfId="0" applyNumberFormat="1" applyFont="1" applyFill="1" applyBorder="1" applyAlignment="1" applyProtection="1">
      <alignment horizontal="center" wrapText="1"/>
      <protection hidden="1"/>
    </xf>
    <xf numFmtId="1" fontId="37" fillId="0" borderId="0" xfId="0" applyNumberFormat="1" applyFont="1" applyAlignment="1" applyProtection="1">
      <alignment horizontal="left" wrapText="1"/>
      <protection hidden="1"/>
    </xf>
    <xf numFmtId="2" fontId="38" fillId="0" borderId="1" xfId="0" applyNumberFormat="1" applyFont="1" applyBorder="1" applyAlignment="1" applyProtection="1">
      <alignment horizontal="center"/>
      <protection hidden="1"/>
    </xf>
    <xf numFmtId="0" fontId="38" fillId="0" borderId="0" xfId="0" applyFont="1" applyAlignment="1" applyProtection="1">
      <alignment horizontal="left"/>
      <protection hidden="1"/>
    </xf>
    <xf numFmtId="168" fontId="31" fillId="5" borderId="1" xfId="2" applyNumberFormat="1" applyFont="1" applyFill="1" applyBorder="1" applyAlignment="1" applyProtection="1">
      <alignment horizontal="left"/>
      <protection hidden="1"/>
    </xf>
    <xf numFmtId="1" fontId="34" fillId="5" borderId="1" xfId="2" applyNumberFormat="1" applyFont="1" applyFill="1" applyBorder="1" applyAlignment="1" applyProtection="1">
      <alignment horizontal="left"/>
      <protection hidden="1"/>
    </xf>
    <xf numFmtId="168" fontId="38" fillId="0" borderId="0" xfId="2" applyNumberFormat="1" applyFont="1" applyAlignment="1" applyProtection="1">
      <alignment horizontal="left"/>
      <protection hidden="1"/>
    </xf>
    <xf numFmtId="2" fontId="34" fillId="0" borderId="0" xfId="2" applyNumberFormat="1" applyFont="1" applyAlignment="1" applyProtection="1">
      <alignment horizontal="center"/>
      <protection hidden="1"/>
    </xf>
    <xf numFmtId="2" fontId="38" fillId="0" borderId="0" xfId="2" applyNumberFormat="1" applyFont="1" applyAlignment="1" applyProtection="1">
      <alignment horizontal="center"/>
      <protection hidden="1"/>
    </xf>
    <xf numFmtId="1" fontId="34" fillId="0" borderId="0" xfId="2" applyNumberFormat="1" applyFont="1" applyAlignment="1" applyProtection="1">
      <alignment horizontal="center"/>
      <protection hidden="1"/>
    </xf>
    <xf numFmtId="2" fontId="33" fillId="0" borderId="0" xfId="0" applyNumberFormat="1" applyFont="1" applyAlignment="1" applyProtection="1">
      <alignment horizontal="center"/>
      <protection hidden="1"/>
    </xf>
    <xf numFmtId="2" fontId="26" fillId="5" borderId="1" xfId="0" applyNumberFormat="1" applyFont="1" applyFill="1" applyBorder="1" applyAlignment="1" applyProtection="1">
      <alignment horizontal="center" wrapText="1"/>
      <protection hidden="1"/>
    </xf>
    <xf numFmtId="2" fontId="26" fillId="0" borderId="0" xfId="0" applyNumberFormat="1" applyFont="1" applyAlignment="1" applyProtection="1">
      <alignment horizontal="center" wrapText="1"/>
      <protection hidden="1"/>
    </xf>
    <xf numFmtId="2" fontId="26" fillId="5" borderId="1" xfId="0" applyNumberFormat="1" applyFont="1" applyFill="1" applyBorder="1" applyAlignment="1" applyProtection="1">
      <alignment horizontal="center"/>
      <protection hidden="1"/>
    </xf>
    <xf numFmtId="2" fontId="26" fillId="0" borderId="0" xfId="0" applyNumberFormat="1" applyFont="1" applyAlignment="1" applyProtection="1">
      <alignment horizontal="center"/>
      <protection hidden="1"/>
    </xf>
    <xf numFmtId="2" fontId="8" fillId="0" borderId="0" xfId="0" applyNumberFormat="1" applyFont="1" applyAlignment="1" applyProtection="1">
      <alignment horizontal="center"/>
      <protection hidden="1"/>
    </xf>
    <xf numFmtId="2" fontId="32" fillId="0" borderId="0" xfId="0" applyNumberFormat="1" applyFont="1" applyAlignment="1" applyProtection="1">
      <alignment horizontal="center"/>
      <protection hidden="1"/>
    </xf>
    <xf numFmtId="1" fontId="33" fillId="0" borderId="0" xfId="0" applyNumberFormat="1" applyFont="1" applyAlignment="1" applyProtection="1">
      <alignment horizontal="center"/>
      <protection hidden="1"/>
    </xf>
    <xf numFmtId="2" fontId="33" fillId="0" borderId="0" xfId="0" applyNumberFormat="1" applyFont="1" applyAlignment="1" applyProtection="1">
      <alignment horizontal="left" wrapText="1"/>
      <protection hidden="1"/>
    </xf>
    <xf numFmtId="2" fontId="4" fillId="0" borderId="0" xfId="0" applyNumberFormat="1" applyFont="1" applyAlignment="1" applyProtection="1">
      <alignment horizontal="center"/>
      <protection hidden="1"/>
    </xf>
    <xf numFmtId="2" fontId="4" fillId="0" borderId="0" xfId="0" applyNumberFormat="1" applyFont="1" applyAlignment="1" applyProtection="1">
      <alignment horizontal="center" wrapText="1"/>
      <protection hidden="1"/>
    </xf>
    <xf numFmtId="2" fontId="4" fillId="5" borderId="1" xfId="0" applyNumberFormat="1" applyFont="1" applyFill="1" applyBorder="1" applyAlignment="1" applyProtection="1">
      <alignment horizontal="center"/>
      <protection hidden="1"/>
    </xf>
    <xf numFmtId="2" fontId="4" fillId="5" borderId="1" xfId="0" applyNumberFormat="1" applyFont="1" applyFill="1" applyBorder="1" applyAlignment="1" applyProtection="1">
      <alignment horizontal="center" wrapText="1"/>
      <protection hidden="1"/>
    </xf>
    <xf numFmtId="2" fontId="32" fillId="5" borderId="1" xfId="0" applyNumberFormat="1" applyFont="1" applyFill="1" applyBorder="1" applyAlignment="1" applyProtection="1">
      <alignment horizontal="left"/>
      <protection hidden="1"/>
    </xf>
    <xf numFmtId="2" fontId="32" fillId="0" borderId="1" xfId="0" applyNumberFormat="1" applyFont="1" applyBorder="1" applyAlignment="1" applyProtection="1">
      <alignment horizontal="center"/>
      <protection hidden="1"/>
    </xf>
    <xf numFmtId="0" fontId="38" fillId="0" borderId="0" xfId="2" applyFont="1" applyAlignment="1" applyProtection="1">
      <alignment horizontal="left"/>
      <protection hidden="1"/>
    </xf>
    <xf numFmtId="0" fontId="34" fillId="0" borderId="0" xfId="2" applyFont="1" applyAlignment="1" applyProtection="1">
      <alignment horizontal="left"/>
      <protection hidden="1"/>
    </xf>
    <xf numFmtId="2" fontId="31" fillId="0" borderId="1" xfId="2" applyNumberFormat="1" applyFont="1" applyBorder="1" applyAlignment="1" applyProtection="1">
      <alignment horizontal="center"/>
      <protection hidden="1"/>
    </xf>
    <xf numFmtId="168" fontId="31" fillId="0" borderId="0" xfId="2" applyNumberFormat="1" applyFont="1" applyAlignment="1" applyProtection="1">
      <alignment horizontal="left"/>
      <protection hidden="1"/>
    </xf>
    <xf numFmtId="0" fontId="4" fillId="5" borderId="1" xfId="0" applyFont="1" applyFill="1" applyBorder="1" applyAlignment="1" applyProtection="1">
      <alignment horizontal="center" wrapText="1"/>
      <protection hidden="1"/>
    </xf>
    <xf numFmtId="0" fontId="0" fillId="0" borderId="0" xfId="0" applyAlignment="1" applyProtection="1">
      <alignment horizontal="left"/>
      <protection hidden="1"/>
    </xf>
    <xf numFmtId="0" fontId="4" fillId="5" borderId="1" xfId="0" applyFont="1" applyFill="1" applyBorder="1" applyAlignment="1" applyProtection="1">
      <alignment horizontal="left" wrapText="1"/>
      <protection hidden="1"/>
    </xf>
    <xf numFmtId="0" fontId="4" fillId="0" borderId="0" xfId="0" applyFont="1" applyAlignment="1" applyProtection="1">
      <alignment horizontal="left" wrapText="1"/>
      <protection hidden="1"/>
    </xf>
    <xf numFmtId="2" fontId="0" fillId="0" borderId="1" xfId="0" applyNumberFormat="1" applyBorder="1" applyAlignment="1" applyProtection="1">
      <alignment horizontal="center"/>
      <protection hidden="1"/>
    </xf>
    <xf numFmtId="0" fontId="0" fillId="5" borderId="1" xfId="0" applyFill="1" applyBorder="1" applyAlignment="1" applyProtection="1">
      <alignment horizontal="left"/>
      <protection hidden="1"/>
    </xf>
    <xf numFmtId="10" fontId="0" fillId="0" borderId="1" xfId="0" applyNumberFormat="1" applyBorder="1" applyAlignment="1" applyProtection="1">
      <alignment horizontal="center"/>
      <protection hidden="1"/>
    </xf>
    <xf numFmtId="9" fontId="0" fillId="0" borderId="1" xfId="0" applyNumberFormat="1" applyBorder="1" applyAlignment="1" applyProtection="1">
      <alignment horizontal="center"/>
      <protection hidden="1"/>
    </xf>
    <xf numFmtId="0" fontId="4" fillId="5" borderId="1" xfId="0" applyFont="1" applyFill="1" applyBorder="1" applyAlignment="1" applyProtection="1">
      <alignment horizontal="left"/>
      <protection hidden="1"/>
    </xf>
    <xf numFmtId="0" fontId="4" fillId="0" borderId="0" xfId="0" applyFont="1" applyAlignment="1" applyProtection="1">
      <alignment horizontal="left"/>
      <protection hidden="1"/>
    </xf>
    <xf numFmtId="2" fontId="0" fillId="0" borderId="0" xfId="0" applyNumberFormat="1" applyAlignment="1" applyProtection="1">
      <alignment horizontal="center"/>
      <protection hidden="1"/>
    </xf>
    <xf numFmtId="0" fontId="0" fillId="0" borderId="0" xfId="0" applyAlignment="1" applyProtection="1">
      <alignment horizontal="left" wrapText="1"/>
      <protection hidden="1"/>
    </xf>
    <xf numFmtId="10" fontId="0" fillId="0" borderId="0" xfId="0" applyNumberFormat="1" applyAlignment="1" applyProtection="1">
      <alignment horizontal="center"/>
      <protection hidden="1"/>
    </xf>
    <xf numFmtId="9" fontId="0" fillId="0" borderId="0" xfId="0" applyNumberFormat="1" applyAlignment="1" applyProtection="1">
      <alignment horizontal="left"/>
      <protection hidden="1"/>
    </xf>
    <xf numFmtId="0" fontId="8" fillId="0" borderId="0" xfId="0" applyFont="1" applyAlignment="1" applyProtection="1">
      <alignment horizontal="left" wrapText="1"/>
      <protection hidden="1"/>
    </xf>
    <xf numFmtId="2" fontId="0" fillId="5" borderId="1" xfId="0" applyNumberFormat="1" applyFill="1" applyBorder="1" applyAlignment="1" applyProtection="1">
      <alignment horizontal="center"/>
      <protection hidden="1"/>
    </xf>
    <xf numFmtId="9" fontId="0" fillId="5" borderId="1" xfId="0" applyNumberFormat="1" applyFill="1" applyBorder="1" applyAlignment="1" applyProtection="1">
      <alignment horizontal="center"/>
      <protection hidden="1"/>
    </xf>
    <xf numFmtId="0" fontId="8" fillId="0" borderId="1" xfId="0" applyFont="1" applyBorder="1" applyProtection="1">
      <protection hidden="1"/>
    </xf>
    <xf numFmtId="0" fontId="0" fillId="0" borderId="0" xfId="0" applyProtection="1">
      <protection hidden="1"/>
    </xf>
    <xf numFmtId="2" fontId="37" fillId="5" borderId="1" xfId="0" applyNumberFormat="1" applyFont="1" applyFill="1" applyBorder="1" applyAlignment="1" applyProtection="1">
      <alignment horizontal="center" wrapText="1"/>
      <protection hidden="1"/>
    </xf>
    <xf numFmtId="2" fontId="38" fillId="7" borderId="0" xfId="2" applyNumberFormat="1" applyFont="1" applyFill="1" applyAlignment="1" applyProtection="1">
      <alignment horizontal="left"/>
      <protection hidden="1"/>
    </xf>
    <xf numFmtId="2" fontId="34" fillId="7" borderId="0" xfId="2" applyNumberFormat="1" applyFont="1" applyFill="1" applyAlignment="1" applyProtection="1">
      <alignment horizontal="left"/>
      <protection hidden="1"/>
    </xf>
    <xf numFmtId="0" fontId="36" fillId="7" borderId="0" xfId="0" applyFont="1" applyFill="1" applyAlignment="1" applyProtection="1">
      <alignment horizontal="left"/>
      <protection hidden="1"/>
    </xf>
    <xf numFmtId="1" fontId="37" fillId="7" borderId="0" xfId="0" applyNumberFormat="1" applyFont="1" applyFill="1" applyAlignment="1" applyProtection="1">
      <alignment horizontal="left" wrapText="1"/>
      <protection hidden="1"/>
    </xf>
    <xf numFmtId="0" fontId="38" fillId="7" borderId="0" xfId="0" applyFont="1" applyFill="1" applyAlignment="1" applyProtection="1">
      <alignment horizontal="left"/>
      <protection hidden="1"/>
    </xf>
    <xf numFmtId="168" fontId="38" fillId="7" borderId="0" xfId="2" applyNumberFormat="1" applyFont="1" applyFill="1" applyAlignment="1" applyProtection="1">
      <alignment horizontal="left"/>
      <protection hidden="1"/>
    </xf>
    <xf numFmtId="2" fontId="36" fillId="7" borderId="0" xfId="2" applyNumberFormat="1" applyFont="1" applyFill="1" applyAlignment="1" applyProtection="1">
      <alignment horizontal="left"/>
      <protection hidden="1"/>
    </xf>
    <xf numFmtId="0" fontId="4" fillId="6" borderId="0" xfId="0" applyFont="1" applyFill="1" applyAlignment="1">
      <alignment vertical="center"/>
    </xf>
    <xf numFmtId="2" fontId="52" fillId="3" borderId="1" xfId="2" applyNumberFormat="1" applyFont="1" applyFill="1" applyBorder="1" applyAlignment="1" applyProtection="1">
      <alignment horizontal="center"/>
      <protection hidden="1"/>
    </xf>
    <xf numFmtId="2" fontId="34" fillId="3" borderId="1" xfId="2" applyNumberFormat="1" applyFont="1" applyFill="1" applyBorder="1" applyAlignment="1">
      <alignment horizontal="center"/>
    </xf>
    <xf numFmtId="2" fontId="4" fillId="3" borderId="1" xfId="0" applyNumberFormat="1" applyFont="1" applyFill="1" applyBorder="1" applyAlignment="1" applyProtection="1">
      <alignment horizontal="center"/>
      <protection hidden="1"/>
    </xf>
    <xf numFmtId="0" fontId="0" fillId="3" borderId="1" xfId="0" applyFill="1" applyBorder="1" applyAlignment="1" applyProtection="1">
      <alignment horizontal="left"/>
      <protection hidden="1"/>
    </xf>
    <xf numFmtId="0" fontId="4" fillId="3" borderId="1" xfId="0" applyFont="1" applyFill="1" applyBorder="1" applyAlignment="1" applyProtection="1">
      <alignment horizontal="center" vertical="center" wrapText="1"/>
      <protection hidden="1"/>
    </xf>
    <xf numFmtId="2" fontId="35" fillId="3" borderId="1" xfId="2" applyNumberFormat="1" applyFont="1" applyFill="1" applyBorder="1" applyAlignment="1" applyProtection="1">
      <alignment horizontal="right"/>
      <protection hidden="1"/>
    </xf>
    <xf numFmtId="0" fontId="4" fillId="3" borderId="0" xfId="0" applyFont="1" applyFill="1"/>
    <xf numFmtId="0" fontId="4" fillId="3" borderId="14" xfId="0" applyFont="1" applyFill="1" applyBorder="1"/>
    <xf numFmtId="0" fontId="4" fillId="3" borderId="6" xfId="0" applyFont="1" applyFill="1" applyBorder="1"/>
    <xf numFmtId="0" fontId="4" fillId="3" borderId="10" xfId="0" applyFont="1" applyFill="1" applyBorder="1"/>
    <xf numFmtId="1" fontId="55" fillId="5" borderId="1" xfId="0" applyNumberFormat="1" applyFont="1" applyFill="1" applyBorder="1" applyAlignment="1" applyProtection="1">
      <alignment horizontal="right" wrapText="1"/>
      <protection hidden="1"/>
    </xf>
    <xf numFmtId="0" fontId="5" fillId="5" borderId="0" xfId="0" applyFont="1" applyFill="1" applyProtection="1">
      <protection hidden="1"/>
    </xf>
    <xf numFmtId="2" fontId="5" fillId="5" borderId="0" xfId="0" applyNumberFormat="1" applyFont="1" applyFill="1" applyAlignment="1" applyProtection="1">
      <alignment horizontal="center"/>
      <protection hidden="1"/>
    </xf>
    <xf numFmtId="0" fontId="5" fillId="0" borderId="0" xfId="0" applyFont="1" applyProtection="1">
      <protection hidden="1"/>
    </xf>
    <xf numFmtId="0" fontId="4" fillId="8" borderId="0" xfId="0" applyFont="1" applyFill="1" applyProtection="1">
      <protection hidden="1"/>
    </xf>
    <xf numFmtId="2" fontId="4" fillId="8" borderId="0" xfId="0" applyNumberFormat="1" applyFont="1" applyFill="1" applyAlignment="1" applyProtection="1">
      <alignment horizontal="center"/>
      <protection hidden="1"/>
    </xf>
    <xf numFmtId="0" fontId="4" fillId="0" borderId="1" xfId="0" applyFont="1" applyBorder="1" applyProtection="1">
      <protection hidden="1"/>
    </xf>
    <xf numFmtId="0" fontId="0" fillId="0" borderId="1" xfId="0" applyBorder="1" applyProtection="1">
      <protection hidden="1"/>
    </xf>
    <xf numFmtId="2" fontId="4" fillId="8" borderId="5" xfId="0" applyNumberFormat="1" applyFont="1" applyFill="1" applyBorder="1" applyAlignment="1" applyProtection="1">
      <alignment horizontal="center"/>
      <protection hidden="1"/>
    </xf>
    <xf numFmtId="0" fontId="8" fillId="8" borderId="0" xfId="0" applyFont="1" applyFill="1" applyProtection="1">
      <protection hidden="1"/>
    </xf>
    <xf numFmtId="2" fontId="0" fillId="8" borderId="0" xfId="0" applyNumberFormat="1" applyFill="1" applyAlignment="1" applyProtection="1">
      <alignment horizontal="center"/>
      <protection hidden="1"/>
    </xf>
    <xf numFmtId="2" fontId="0" fillId="8" borderId="10" xfId="0" applyNumberFormat="1" applyFill="1" applyBorder="1" applyAlignment="1" applyProtection="1">
      <alignment horizontal="center"/>
      <protection hidden="1"/>
    </xf>
    <xf numFmtId="0" fontId="8" fillId="0" borderId="1" xfId="0" applyFont="1" applyBorder="1" applyAlignment="1" applyProtection="1">
      <alignment wrapText="1"/>
      <protection hidden="1"/>
    </xf>
    <xf numFmtId="2" fontId="4" fillId="8" borderId="6" xfId="0" applyNumberFormat="1" applyFont="1" applyFill="1" applyBorder="1" applyAlignment="1" applyProtection="1">
      <alignment horizontal="center"/>
      <protection hidden="1"/>
    </xf>
    <xf numFmtId="2" fontId="0" fillId="8" borderId="12" xfId="0" applyNumberFormat="1" applyFill="1" applyBorder="1" applyAlignment="1" applyProtection="1">
      <alignment horizontal="center"/>
      <protection hidden="1"/>
    </xf>
    <xf numFmtId="2" fontId="0" fillId="3" borderId="3" xfId="0" applyNumberFormat="1" applyFill="1" applyBorder="1" applyProtection="1">
      <protection locked="0"/>
    </xf>
    <xf numFmtId="165" fontId="0" fillId="3" borderId="4" xfId="0" applyNumberFormat="1" applyFill="1" applyBorder="1" applyProtection="1">
      <protection locked="0"/>
    </xf>
    <xf numFmtId="2" fontId="8" fillId="3" borderId="3" xfId="0" applyNumberFormat="1" applyFont="1" applyFill="1" applyBorder="1" applyProtection="1">
      <protection locked="0"/>
    </xf>
    <xf numFmtId="2" fontId="0" fillId="3" borderId="4" xfId="0" applyNumberFormat="1" applyFill="1" applyBorder="1" applyProtection="1">
      <protection locked="0"/>
    </xf>
    <xf numFmtId="0" fontId="0" fillId="3" borderId="0" xfId="0" applyFill="1" applyProtection="1">
      <protection locked="0"/>
    </xf>
    <xf numFmtId="2" fontId="0" fillId="3" borderId="2" xfId="0" applyNumberFormat="1" applyFill="1" applyBorder="1" applyProtection="1">
      <protection locked="0"/>
    </xf>
    <xf numFmtId="2" fontId="0" fillId="3" borderId="5" xfId="0" applyNumberFormat="1" applyFill="1" applyBorder="1" applyProtection="1">
      <protection locked="0"/>
    </xf>
    <xf numFmtId="2" fontId="0" fillId="3" borderId="6" xfId="0" applyNumberFormat="1" applyFill="1" applyBorder="1" applyProtection="1">
      <protection locked="0"/>
    </xf>
    <xf numFmtId="10" fontId="35" fillId="3" borderId="1" xfId="2" applyNumberFormat="1" applyFont="1" applyFill="1" applyBorder="1" applyAlignment="1" applyProtection="1">
      <alignment horizontal="center"/>
      <protection hidden="1"/>
    </xf>
    <xf numFmtId="166" fontId="36" fillId="5" borderId="1" xfId="0" applyNumberFormat="1" applyFont="1" applyFill="1" applyBorder="1" applyAlignment="1" applyProtection="1">
      <alignment horizontal="left"/>
      <protection hidden="1"/>
    </xf>
    <xf numFmtId="2" fontId="36" fillId="5" borderId="1" xfId="2" applyNumberFormat="1" applyFont="1" applyFill="1" applyBorder="1" applyAlignment="1" applyProtection="1">
      <alignment horizontal="center"/>
      <protection hidden="1"/>
    </xf>
    <xf numFmtId="1" fontId="46" fillId="5" borderId="1" xfId="2" applyNumberFormat="1" applyFont="1" applyFill="1" applyBorder="1" applyAlignment="1" applyProtection="1">
      <alignment horizontal="left"/>
      <protection hidden="1"/>
    </xf>
    <xf numFmtId="2" fontId="8" fillId="3" borderId="2" xfId="0" applyNumberFormat="1" applyFont="1" applyFill="1" applyBorder="1" applyProtection="1">
      <protection locked="0"/>
    </xf>
    <xf numFmtId="2" fontId="0" fillId="3" borderId="0" xfId="0" applyNumberFormat="1" applyFill="1" applyProtection="1">
      <protection locked="0"/>
    </xf>
    <xf numFmtId="0" fontId="0" fillId="3" borderId="0" xfId="0" quotePrefix="1" applyFill="1" applyAlignment="1" applyProtection="1">
      <alignment horizontal="left"/>
      <protection locked="0"/>
    </xf>
    <xf numFmtId="0" fontId="8" fillId="3" borderId="0" xfId="0" applyFont="1" applyFill="1" applyProtection="1">
      <protection locked="0"/>
    </xf>
    <xf numFmtId="166" fontId="8" fillId="3" borderId="1" xfId="0" quotePrefix="1" applyNumberFormat="1" applyFont="1" applyFill="1" applyBorder="1" applyAlignment="1" applyProtection="1">
      <alignment horizontal="center"/>
      <protection locked="0"/>
    </xf>
    <xf numFmtId="0" fontId="31" fillId="0" borderId="0" xfId="2" applyFont="1" applyAlignment="1" applyProtection="1">
      <alignment horizontal="left"/>
      <protection hidden="1"/>
    </xf>
    <xf numFmtId="2" fontId="52" fillId="3" borderId="1" xfId="2" applyNumberFormat="1" applyFont="1" applyFill="1" applyBorder="1" applyAlignment="1" applyProtection="1">
      <alignment horizontal="center" shrinkToFit="1"/>
      <protection hidden="1"/>
    </xf>
    <xf numFmtId="2" fontId="31" fillId="0" borderId="11" xfId="2" applyNumberFormat="1" applyFont="1" applyBorder="1" applyAlignment="1" applyProtection="1">
      <alignment horizontal="center"/>
      <protection hidden="1"/>
    </xf>
    <xf numFmtId="2" fontId="31" fillId="3" borderId="1" xfId="2" applyNumberFormat="1" applyFont="1" applyFill="1" applyBorder="1" applyAlignment="1">
      <alignment horizontal="center"/>
    </xf>
    <xf numFmtId="10" fontId="8" fillId="0" borderId="2" xfId="0" applyNumberFormat="1" applyFont="1" applyBorder="1" applyProtection="1">
      <protection hidden="1"/>
    </xf>
    <xf numFmtId="166" fontId="8" fillId="3" borderId="1" xfId="0" applyNumberFormat="1" applyFont="1" applyFill="1" applyBorder="1" applyAlignment="1" applyProtection="1">
      <alignment horizontal="center"/>
      <protection locked="0"/>
    </xf>
    <xf numFmtId="166" fontId="8" fillId="3" borderId="2" xfId="0" applyNumberFormat="1" applyFont="1" applyFill="1" applyBorder="1" applyAlignment="1" applyProtection="1">
      <alignment horizontal="center"/>
      <protection locked="0"/>
    </xf>
    <xf numFmtId="2" fontId="8" fillId="3" borderId="1" xfId="0" applyNumberFormat="1" applyFont="1" applyFill="1" applyBorder="1" applyAlignment="1" applyProtection="1">
      <alignment horizontal="center"/>
      <protection locked="0"/>
    </xf>
    <xf numFmtId="0" fontId="8" fillId="3" borderId="1" xfId="0" applyFont="1" applyFill="1" applyBorder="1" applyAlignment="1" applyProtection="1">
      <alignment horizontal="left"/>
      <protection locked="0"/>
    </xf>
    <xf numFmtId="2" fontId="0" fillId="3" borderId="1" xfId="0" applyNumberFormat="1" applyFill="1" applyBorder="1" applyAlignment="1" applyProtection="1">
      <alignment horizontal="center"/>
      <protection locked="0"/>
    </xf>
    <xf numFmtId="0" fontId="0" fillId="3" borderId="1" xfId="0" applyFill="1" applyBorder="1" applyAlignment="1" applyProtection="1">
      <alignment horizontal="left"/>
      <protection locked="0"/>
    </xf>
    <xf numFmtId="2" fontId="35" fillId="0" borderId="1" xfId="2" applyNumberFormat="1" applyFont="1" applyBorder="1" applyAlignment="1" applyProtection="1">
      <alignment horizontal="left" vertical="top" wrapText="1"/>
      <protection hidden="1"/>
    </xf>
    <xf numFmtId="1" fontId="34" fillId="5" borderId="1" xfId="0" applyNumberFormat="1" applyFont="1" applyFill="1" applyBorder="1" applyAlignment="1" applyProtection="1">
      <alignment horizontal="center" wrapText="1"/>
      <protection hidden="1"/>
    </xf>
    <xf numFmtId="9" fontId="69" fillId="0" borderId="0" xfId="0" applyNumberFormat="1" applyFont="1" applyAlignment="1">
      <alignment horizontal="center" wrapText="1"/>
    </xf>
    <xf numFmtId="9" fontId="36" fillId="0" borderId="1" xfId="0" applyNumberFormat="1" applyFont="1" applyBorder="1" applyAlignment="1">
      <alignment horizontal="center" wrapText="1"/>
    </xf>
    <xf numFmtId="9" fontId="36" fillId="9" borderId="1" xfId="0" applyNumberFormat="1" applyFont="1" applyFill="1" applyBorder="1" applyAlignment="1">
      <alignment horizontal="center" wrapText="1"/>
    </xf>
    <xf numFmtId="9" fontId="36" fillId="9" borderId="12" xfId="0" applyNumberFormat="1" applyFont="1" applyFill="1" applyBorder="1" applyAlignment="1">
      <alignment horizontal="center" wrapText="1"/>
    </xf>
    <xf numFmtId="1" fontId="64" fillId="9" borderId="12" xfId="0" applyNumberFormat="1" applyFont="1" applyFill="1" applyBorder="1" applyAlignment="1">
      <alignment horizontal="center" wrapText="1"/>
    </xf>
    <xf numFmtId="9" fontId="35" fillId="0" borderId="1" xfId="0" applyNumberFormat="1" applyFont="1" applyBorder="1" applyAlignment="1">
      <alignment horizontal="center" wrapText="1"/>
    </xf>
    <xf numFmtId="2" fontId="31" fillId="7" borderId="0" xfId="2" applyNumberFormat="1" applyFont="1" applyFill="1" applyAlignment="1" applyProtection="1">
      <alignment horizontal="left"/>
      <protection hidden="1"/>
    </xf>
    <xf numFmtId="2" fontId="31" fillId="0" borderId="0" xfId="2" applyNumberFormat="1" applyFont="1" applyAlignment="1" applyProtection="1">
      <alignment horizontal="left"/>
      <protection hidden="1"/>
    </xf>
    <xf numFmtId="2" fontId="53" fillId="0" borderId="1" xfId="2" applyNumberFormat="1" applyFont="1" applyBorder="1" applyAlignment="1" applyProtection="1">
      <alignment horizontal="center"/>
      <protection hidden="1"/>
    </xf>
    <xf numFmtId="0" fontId="36" fillId="5" borderId="0" xfId="2" applyFont="1" applyFill="1" applyAlignment="1" applyProtection="1">
      <alignment horizontal="left"/>
      <protection hidden="1"/>
    </xf>
    <xf numFmtId="0" fontId="36" fillId="0" borderId="0" xfId="2" applyFont="1" applyAlignment="1" applyProtection="1">
      <alignment horizontal="left"/>
      <protection hidden="1"/>
    </xf>
    <xf numFmtId="1" fontId="35" fillId="5" borderId="1" xfId="2" applyNumberFormat="1" applyFont="1" applyFill="1" applyBorder="1" applyAlignment="1" applyProtection="1">
      <alignment horizontal="left"/>
      <protection hidden="1"/>
    </xf>
    <xf numFmtId="1" fontId="36" fillId="0" borderId="0" xfId="2" applyNumberFormat="1" applyFont="1" applyAlignment="1" applyProtection="1">
      <alignment horizontal="left"/>
      <protection hidden="1"/>
    </xf>
    <xf numFmtId="0" fontId="35" fillId="0" borderId="0" xfId="2" applyFont="1" applyAlignment="1" applyProtection="1">
      <alignment horizontal="left"/>
      <protection hidden="1"/>
    </xf>
    <xf numFmtId="2" fontId="35" fillId="3" borderId="1" xfId="2" applyNumberFormat="1" applyFont="1" applyFill="1" applyBorder="1" applyAlignment="1" applyProtection="1">
      <alignment horizontal="center"/>
      <protection locked="0"/>
    </xf>
    <xf numFmtId="0" fontId="36" fillId="0" borderId="1" xfId="2" applyFont="1" applyBorder="1" applyAlignment="1" applyProtection="1">
      <alignment horizontal="left"/>
      <protection hidden="1"/>
    </xf>
    <xf numFmtId="2" fontId="36" fillId="0" borderId="1" xfId="2" applyNumberFormat="1" applyFont="1" applyBorder="1" applyAlignment="1" applyProtection="1">
      <alignment horizontal="center" shrinkToFit="1"/>
      <protection hidden="1"/>
    </xf>
    <xf numFmtId="0" fontId="35" fillId="0" borderId="1" xfId="2" applyFont="1" applyBorder="1" applyAlignment="1" applyProtection="1">
      <alignment horizontal="left"/>
      <protection hidden="1"/>
    </xf>
    <xf numFmtId="0" fontId="36" fillId="0" borderId="1" xfId="2" applyFont="1" applyBorder="1" applyAlignment="1" applyProtection="1">
      <alignment horizontal="center"/>
      <protection hidden="1"/>
    </xf>
    <xf numFmtId="0" fontId="35" fillId="5" borderId="7" xfId="2" applyFont="1" applyFill="1" applyBorder="1" applyAlignment="1" applyProtection="1">
      <alignment horizontal="left"/>
      <protection hidden="1"/>
    </xf>
    <xf numFmtId="0" fontId="36" fillId="5" borderId="7" xfId="2" applyFont="1" applyFill="1" applyBorder="1" applyAlignment="1" applyProtection="1">
      <alignment horizontal="left"/>
      <protection hidden="1"/>
    </xf>
    <xf numFmtId="0" fontId="36" fillId="5" borderId="15" xfId="2" applyFont="1" applyFill="1" applyBorder="1" applyAlignment="1" applyProtection="1">
      <alignment horizontal="left"/>
      <protection hidden="1"/>
    </xf>
    <xf numFmtId="0" fontId="36" fillId="5" borderId="15" xfId="2" applyFont="1" applyFill="1" applyBorder="1" applyAlignment="1" applyProtection="1">
      <alignment horizontal="center"/>
      <protection hidden="1"/>
    </xf>
    <xf numFmtId="0" fontId="35" fillId="5" borderId="15" xfId="2" applyFont="1" applyFill="1" applyBorder="1" applyAlignment="1" applyProtection="1">
      <alignment horizontal="left"/>
      <protection hidden="1"/>
    </xf>
    <xf numFmtId="0" fontId="36" fillId="5" borderId="5" xfId="2" applyFont="1" applyFill="1" applyBorder="1" applyAlignment="1" applyProtection="1">
      <alignment horizontal="left"/>
      <protection hidden="1"/>
    </xf>
    <xf numFmtId="0" fontId="35" fillId="5" borderId="8" xfId="2" applyFont="1" applyFill="1" applyBorder="1" applyAlignment="1" applyProtection="1">
      <alignment horizontal="left"/>
      <protection hidden="1"/>
    </xf>
    <xf numFmtId="0" fontId="36" fillId="5" borderId="8" xfId="2" applyFont="1" applyFill="1" applyBorder="1" applyAlignment="1" applyProtection="1">
      <alignment horizontal="left"/>
      <protection hidden="1"/>
    </xf>
    <xf numFmtId="0" fontId="36" fillId="5" borderId="0" xfId="2" applyFont="1" applyFill="1" applyAlignment="1" applyProtection="1">
      <alignment horizontal="center"/>
      <protection hidden="1"/>
    </xf>
    <xf numFmtId="0" fontId="35" fillId="5" borderId="0" xfId="2" applyFont="1" applyFill="1" applyAlignment="1" applyProtection="1">
      <alignment horizontal="left"/>
      <protection hidden="1"/>
    </xf>
    <xf numFmtId="0" fontId="36" fillId="5" borderId="6" xfId="2" applyFont="1" applyFill="1" applyBorder="1" applyAlignment="1" applyProtection="1">
      <alignment horizontal="left"/>
      <protection hidden="1"/>
    </xf>
    <xf numFmtId="0" fontId="35" fillId="5" borderId="9" xfId="2" applyFont="1" applyFill="1" applyBorder="1" applyAlignment="1" applyProtection="1">
      <alignment horizontal="left"/>
      <protection hidden="1"/>
    </xf>
    <xf numFmtId="0" fontId="36" fillId="5" borderId="14" xfId="2" applyFont="1" applyFill="1" applyBorder="1" applyAlignment="1" applyProtection="1">
      <alignment horizontal="left"/>
      <protection hidden="1"/>
    </xf>
    <xf numFmtId="0" fontId="36" fillId="5" borderId="14" xfId="2" applyFont="1" applyFill="1" applyBorder="1" applyAlignment="1" applyProtection="1">
      <alignment horizontal="center"/>
      <protection hidden="1"/>
    </xf>
    <xf numFmtId="0" fontId="35" fillId="5" borderId="14" xfId="2" applyFont="1" applyFill="1" applyBorder="1" applyAlignment="1" applyProtection="1">
      <alignment horizontal="left"/>
      <protection hidden="1"/>
    </xf>
    <xf numFmtId="0" fontId="36" fillId="5" borderId="10" xfId="2" applyFont="1" applyFill="1" applyBorder="1" applyAlignment="1" applyProtection="1">
      <alignment horizontal="left"/>
      <protection hidden="1"/>
    </xf>
    <xf numFmtId="10" fontId="36" fillId="0" borderId="2" xfId="2" applyNumberFormat="1" applyFont="1" applyBorder="1" applyAlignment="1" applyProtection="1">
      <alignment horizontal="center"/>
      <protection hidden="1"/>
    </xf>
    <xf numFmtId="10" fontId="36" fillId="0" borderId="0" xfId="2" applyNumberFormat="1" applyFont="1" applyAlignment="1" applyProtection="1">
      <alignment horizontal="left"/>
      <protection hidden="1"/>
    </xf>
    <xf numFmtId="0" fontId="36" fillId="4" borderId="0" xfId="2" applyFont="1" applyFill="1" applyAlignment="1" applyProtection="1">
      <alignment horizontal="center"/>
      <protection hidden="1"/>
    </xf>
    <xf numFmtId="0" fontId="36" fillId="0" borderId="0" xfId="2" applyFont="1" applyAlignment="1" applyProtection="1">
      <alignment horizontal="center"/>
      <protection hidden="1"/>
    </xf>
    <xf numFmtId="0" fontId="35" fillId="0" borderId="0" xfId="2" applyFont="1" applyAlignment="1" applyProtection="1">
      <alignment horizontal="center"/>
      <protection hidden="1"/>
    </xf>
    <xf numFmtId="0" fontId="53" fillId="0" borderId="0" xfId="2" applyFont="1" applyAlignment="1" applyProtection="1">
      <alignment horizontal="left"/>
      <protection hidden="1"/>
    </xf>
    <xf numFmtId="0" fontId="36" fillId="7" borderId="0" xfId="2" applyFont="1" applyFill="1" applyAlignment="1" applyProtection="1">
      <alignment horizontal="center"/>
      <protection hidden="1"/>
    </xf>
    <xf numFmtId="2" fontId="36" fillId="10" borderId="0" xfId="0" applyNumberFormat="1" applyFont="1" applyFill="1" applyAlignment="1" applyProtection="1">
      <alignment horizontal="center"/>
      <protection hidden="1"/>
    </xf>
    <xf numFmtId="2" fontId="36" fillId="0" borderId="1" xfId="0" applyNumberFormat="1" applyFont="1" applyBorder="1" applyAlignment="1" applyProtection="1">
      <alignment horizontal="center"/>
      <protection hidden="1"/>
    </xf>
    <xf numFmtId="2" fontId="36" fillId="10" borderId="0" xfId="0" applyNumberFormat="1" applyFont="1" applyFill="1" applyAlignment="1" applyProtection="1">
      <alignment wrapText="1"/>
      <protection hidden="1"/>
    </xf>
    <xf numFmtId="2" fontId="36" fillId="0" borderId="0" xfId="0" applyNumberFormat="1" applyFont="1" applyProtection="1">
      <protection hidden="1"/>
    </xf>
    <xf numFmtId="2" fontId="35" fillId="10" borderId="0" xfId="0" applyNumberFormat="1" applyFont="1" applyFill="1" applyProtection="1">
      <protection hidden="1"/>
    </xf>
    <xf numFmtId="2" fontId="35" fillId="5" borderId="1" xfId="0" applyNumberFormat="1" applyFont="1" applyFill="1" applyBorder="1" applyProtection="1">
      <protection hidden="1"/>
    </xf>
    <xf numFmtId="1" fontId="35" fillId="5" borderId="1" xfId="0" applyNumberFormat="1" applyFont="1" applyFill="1" applyBorder="1" applyAlignment="1" applyProtection="1">
      <alignment horizontal="center"/>
      <protection hidden="1"/>
    </xf>
    <xf numFmtId="2" fontId="36" fillId="5" borderId="1" xfId="0" applyNumberFormat="1" applyFont="1" applyFill="1" applyBorder="1" applyAlignment="1" applyProtection="1">
      <alignment horizontal="left"/>
      <protection hidden="1"/>
    </xf>
    <xf numFmtId="2" fontId="36" fillId="5" borderId="1" xfId="0" applyNumberFormat="1" applyFont="1" applyFill="1" applyBorder="1" applyAlignment="1" applyProtection="1">
      <alignment horizontal="left" wrapText="1"/>
      <protection hidden="1"/>
    </xf>
    <xf numFmtId="2" fontId="36" fillId="5" borderId="1" xfId="0" quotePrefix="1" applyNumberFormat="1" applyFont="1" applyFill="1" applyBorder="1" applyAlignment="1" applyProtection="1">
      <alignment horizontal="left" vertical="top" wrapText="1"/>
      <protection hidden="1"/>
    </xf>
    <xf numFmtId="2" fontId="36" fillId="5" borderId="1" xfId="0" applyNumberFormat="1" applyFont="1" applyFill="1" applyBorder="1" applyAlignment="1" applyProtection="1">
      <alignment wrapText="1"/>
      <protection hidden="1"/>
    </xf>
    <xf numFmtId="2" fontId="0" fillId="3" borderId="8" xfId="0" applyNumberFormat="1" applyFill="1" applyBorder="1" applyProtection="1">
      <protection locked="0"/>
    </xf>
    <xf numFmtId="0" fontId="39" fillId="0" borderId="0" xfId="0" applyFont="1" applyAlignment="1" applyProtection="1">
      <alignment horizontal="left"/>
      <protection hidden="1"/>
    </xf>
    <xf numFmtId="0" fontId="4" fillId="5" borderId="2" xfId="0" applyFont="1" applyFill="1" applyBorder="1" applyAlignment="1" applyProtection="1">
      <alignment horizontal="center" wrapText="1"/>
      <protection hidden="1"/>
    </xf>
    <xf numFmtId="2" fontId="0" fillId="0" borderId="4" xfId="0" applyNumberFormat="1" applyBorder="1" applyAlignment="1" applyProtection="1">
      <alignment horizontal="center"/>
      <protection hidden="1"/>
    </xf>
    <xf numFmtId="10" fontId="4" fillId="5" borderId="4" xfId="0" applyNumberFormat="1" applyFont="1" applyFill="1" applyBorder="1" applyAlignment="1" applyProtection="1">
      <alignment horizontal="center" wrapText="1"/>
      <protection hidden="1"/>
    </xf>
    <xf numFmtId="10" fontId="36" fillId="0" borderId="1" xfId="0" applyNumberFormat="1" applyFont="1" applyBorder="1" applyAlignment="1" applyProtection="1">
      <alignment horizontal="center"/>
      <protection hidden="1"/>
    </xf>
    <xf numFmtId="2" fontId="64" fillId="0" borderId="1" xfId="0" applyNumberFormat="1" applyFont="1" applyBorder="1" applyAlignment="1" applyProtection="1">
      <alignment horizontal="center"/>
      <protection hidden="1"/>
    </xf>
    <xf numFmtId="1" fontId="35" fillId="0" borderId="1" xfId="0" applyNumberFormat="1" applyFont="1" applyBorder="1" applyAlignment="1" applyProtection="1">
      <alignment horizontal="center"/>
      <protection hidden="1"/>
    </xf>
    <xf numFmtId="10" fontId="66" fillId="0" borderId="1" xfId="0" applyNumberFormat="1" applyFont="1" applyBorder="1" applyAlignment="1" applyProtection="1">
      <alignment horizontal="center"/>
      <protection hidden="1"/>
    </xf>
    <xf numFmtId="1" fontId="36" fillId="0" borderId="1" xfId="0" applyNumberFormat="1" applyFont="1" applyBorder="1" applyAlignment="1" applyProtection="1">
      <alignment horizontal="center"/>
      <protection hidden="1"/>
    </xf>
    <xf numFmtId="0" fontId="36" fillId="0" borderId="0" xfId="0" applyFont="1" applyProtection="1">
      <protection hidden="1"/>
    </xf>
    <xf numFmtId="0" fontId="35" fillId="5" borderId="1" xfId="0" applyFont="1" applyFill="1" applyBorder="1" applyProtection="1">
      <protection hidden="1"/>
    </xf>
    <xf numFmtId="0" fontId="35" fillId="0" borderId="0" xfId="0" applyFont="1" applyProtection="1">
      <protection hidden="1"/>
    </xf>
    <xf numFmtId="0" fontId="35" fillId="0" borderId="1" xfId="0" applyFont="1" applyBorder="1" applyProtection="1">
      <protection hidden="1"/>
    </xf>
    <xf numFmtId="2" fontId="36" fillId="3" borderId="1" xfId="0" applyNumberFormat="1" applyFont="1" applyFill="1" applyBorder="1" applyAlignment="1" applyProtection="1">
      <alignment horizontal="center"/>
      <protection hidden="1"/>
    </xf>
    <xf numFmtId="2" fontId="35" fillId="0" borderId="1" xfId="0" applyNumberFormat="1" applyFont="1" applyBorder="1" applyAlignment="1" applyProtection="1">
      <alignment horizontal="center"/>
      <protection hidden="1"/>
    </xf>
    <xf numFmtId="0" fontId="36" fillId="0" borderId="1" xfId="0" applyFont="1" applyBorder="1" applyProtection="1">
      <protection hidden="1"/>
    </xf>
    <xf numFmtId="2" fontId="36" fillId="0" borderId="1" xfId="0" applyNumberFormat="1" applyFont="1" applyBorder="1" applyProtection="1">
      <protection hidden="1"/>
    </xf>
    <xf numFmtId="2" fontId="35" fillId="10" borderId="0" xfId="0" applyNumberFormat="1" applyFont="1" applyFill="1" applyAlignment="1" applyProtection="1">
      <alignment horizontal="center"/>
      <protection hidden="1"/>
    </xf>
    <xf numFmtId="2" fontId="35" fillId="0" borderId="1" xfId="0" applyNumberFormat="1" applyFont="1" applyBorder="1" applyAlignment="1" applyProtection="1">
      <alignment wrapText="1"/>
      <protection hidden="1"/>
    </xf>
    <xf numFmtId="0" fontId="36" fillId="0" borderId="1" xfId="0" applyFont="1" applyBorder="1" applyAlignment="1" applyProtection="1">
      <alignment horizontal="center"/>
      <protection hidden="1"/>
    </xf>
    <xf numFmtId="2" fontId="36" fillId="0" borderId="1" xfId="0" applyNumberFormat="1" applyFont="1" applyBorder="1" applyAlignment="1" applyProtection="1">
      <alignment wrapText="1"/>
      <protection hidden="1"/>
    </xf>
    <xf numFmtId="2" fontId="36" fillId="0" borderId="0" xfId="0" applyNumberFormat="1" applyFont="1" applyAlignment="1" applyProtection="1">
      <alignment horizontal="center"/>
      <protection hidden="1"/>
    </xf>
    <xf numFmtId="0" fontId="36" fillId="0" borderId="0" xfId="0" applyFont="1" applyAlignment="1" applyProtection="1">
      <alignment horizontal="center"/>
      <protection hidden="1"/>
    </xf>
    <xf numFmtId="2" fontId="8" fillId="6" borderId="2" xfId="0" applyNumberFormat="1" applyFont="1" applyFill="1" applyBorder="1" applyAlignment="1" applyProtection="1">
      <alignment horizontal="center"/>
      <protection hidden="1"/>
    </xf>
    <xf numFmtId="2" fontId="8" fillId="6" borderId="4" xfId="0" applyNumberFormat="1" applyFont="1" applyFill="1" applyBorder="1" applyAlignment="1" applyProtection="1">
      <alignment horizontal="center"/>
      <protection hidden="1"/>
    </xf>
    <xf numFmtId="2" fontId="8" fillId="6" borderId="10" xfId="0" applyNumberFormat="1" applyFont="1" applyFill="1" applyBorder="1" applyAlignment="1" applyProtection="1">
      <alignment horizontal="center"/>
      <protection hidden="1"/>
    </xf>
    <xf numFmtId="10" fontId="8" fillId="6" borderId="2" xfId="0" applyNumberFormat="1" applyFont="1" applyFill="1" applyBorder="1" applyAlignment="1" applyProtection="1">
      <alignment horizontal="center"/>
      <protection hidden="1"/>
    </xf>
    <xf numFmtId="2" fontId="46" fillId="5" borderId="14" xfId="0" applyNumberFormat="1" applyFont="1" applyFill="1" applyBorder="1" applyProtection="1">
      <protection hidden="1"/>
    </xf>
    <xf numFmtId="2" fontId="36" fillId="5" borderId="14" xfId="0" applyNumberFormat="1" applyFont="1" applyFill="1" applyBorder="1" applyAlignment="1" applyProtection="1">
      <alignment horizontal="center"/>
      <protection hidden="1"/>
    </xf>
    <xf numFmtId="1" fontId="35" fillId="5" borderId="1" xfId="0" applyNumberFormat="1" applyFont="1" applyFill="1" applyBorder="1" applyProtection="1">
      <protection hidden="1"/>
    </xf>
    <xf numFmtId="1" fontId="35" fillId="0" borderId="0" xfId="0" applyNumberFormat="1" applyFont="1" applyProtection="1">
      <protection hidden="1"/>
    </xf>
    <xf numFmtId="1" fontId="35" fillId="5" borderId="2" xfId="0" applyNumberFormat="1" applyFont="1" applyFill="1" applyBorder="1" applyProtection="1">
      <protection hidden="1"/>
    </xf>
    <xf numFmtId="1" fontId="35" fillId="5" borderId="2" xfId="0" applyNumberFormat="1" applyFont="1" applyFill="1" applyBorder="1" applyAlignment="1" applyProtection="1">
      <alignment horizontal="center"/>
      <protection hidden="1"/>
    </xf>
    <xf numFmtId="2" fontId="8" fillId="0" borderId="0" xfId="0" applyNumberFormat="1" applyFont="1" applyProtection="1">
      <protection hidden="1"/>
    </xf>
    <xf numFmtId="2" fontId="45" fillId="10" borderId="0" xfId="0" applyNumberFormat="1" applyFont="1" applyFill="1" applyAlignment="1" applyProtection="1">
      <alignment vertical="top"/>
      <protection hidden="1"/>
    </xf>
    <xf numFmtId="10" fontId="8" fillId="0" borderId="1" xfId="0" applyNumberFormat="1" applyFont="1" applyBorder="1" applyProtection="1">
      <protection hidden="1"/>
    </xf>
    <xf numFmtId="10" fontId="36" fillId="0" borderId="0" xfId="0" applyNumberFormat="1" applyFont="1" applyProtection="1">
      <protection hidden="1"/>
    </xf>
    <xf numFmtId="2" fontId="35" fillId="0" borderId="0" xfId="0" applyNumberFormat="1" applyFont="1" applyProtection="1">
      <protection hidden="1"/>
    </xf>
    <xf numFmtId="10" fontId="10" fillId="0" borderId="1" xfId="0" applyNumberFormat="1" applyFont="1" applyBorder="1" applyAlignment="1" applyProtection="1">
      <alignment wrapText="1"/>
      <protection hidden="1"/>
    </xf>
    <xf numFmtId="2" fontId="46" fillId="10" borderId="0" xfId="0" applyNumberFormat="1" applyFont="1" applyFill="1" applyProtection="1">
      <protection hidden="1"/>
    </xf>
    <xf numFmtId="2" fontId="35" fillId="10" borderId="0" xfId="0" applyNumberFormat="1" applyFont="1" applyFill="1" applyAlignment="1" applyProtection="1">
      <alignment wrapText="1"/>
      <protection hidden="1"/>
    </xf>
    <xf numFmtId="0" fontId="8" fillId="6" borderId="2" xfId="0" applyFont="1" applyFill="1" applyBorder="1" applyProtection="1">
      <protection hidden="1"/>
    </xf>
    <xf numFmtId="0" fontId="8" fillId="6" borderId="4" xfId="0" applyFont="1" applyFill="1" applyBorder="1" applyProtection="1">
      <protection hidden="1"/>
    </xf>
    <xf numFmtId="1" fontId="8" fillId="6" borderId="2" xfId="0" applyNumberFormat="1" applyFont="1" applyFill="1" applyBorder="1" applyAlignment="1" applyProtection="1">
      <alignment wrapText="1"/>
      <protection hidden="1"/>
    </xf>
    <xf numFmtId="1" fontId="8" fillId="6" borderId="2" xfId="0" applyNumberFormat="1" applyFont="1" applyFill="1" applyBorder="1" applyAlignment="1" applyProtection="1">
      <alignment horizontal="center"/>
      <protection hidden="1"/>
    </xf>
    <xf numFmtId="1" fontId="8" fillId="0" borderId="0" xfId="0" applyNumberFormat="1" applyFont="1" applyProtection="1">
      <protection hidden="1"/>
    </xf>
    <xf numFmtId="1" fontId="8" fillId="6" borderId="4" xfId="0" applyNumberFormat="1" applyFont="1" applyFill="1" applyBorder="1" applyAlignment="1" applyProtection="1">
      <alignment wrapText="1"/>
      <protection hidden="1"/>
    </xf>
    <xf numFmtId="2" fontId="64" fillId="0" borderId="1" xfId="0" applyNumberFormat="1" applyFont="1" applyBorder="1" applyAlignment="1" applyProtection="1">
      <alignment wrapText="1"/>
      <protection hidden="1"/>
    </xf>
    <xf numFmtId="2" fontId="64" fillId="0" borderId="0" xfId="0" applyNumberFormat="1" applyFont="1" applyProtection="1">
      <protection hidden="1"/>
    </xf>
    <xf numFmtId="1" fontId="35" fillId="0" borderId="1" xfId="0" applyNumberFormat="1" applyFont="1" applyBorder="1" applyAlignment="1" applyProtection="1">
      <alignment wrapText="1"/>
      <protection hidden="1"/>
    </xf>
    <xf numFmtId="2" fontId="36" fillId="11" borderId="1" xfId="0" applyNumberFormat="1" applyFont="1" applyFill="1" applyBorder="1" applyAlignment="1" applyProtection="1">
      <alignment horizontal="center"/>
      <protection hidden="1"/>
    </xf>
    <xf numFmtId="10" fontId="36" fillId="0" borderId="1" xfId="0" applyNumberFormat="1" applyFont="1" applyBorder="1" applyAlignment="1" applyProtection="1">
      <alignment wrapText="1"/>
      <protection hidden="1"/>
    </xf>
    <xf numFmtId="1" fontId="36" fillId="0" borderId="1" xfId="0" applyNumberFormat="1" applyFont="1" applyBorder="1" applyAlignment="1" applyProtection="1">
      <alignment wrapText="1"/>
      <protection hidden="1"/>
    </xf>
    <xf numFmtId="1" fontId="36" fillId="0" borderId="0" xfId="0" applyNumberFormat="1" applyFont="1" applyProtection="1">
      <protection hidden="1"/>
    </xf>
    <xf numFmtId="2" fontId="36" fillId="0" borderId="0" xfId="0" applyNumberFormat="1" applyFont="1" applyAlignment="1" applyProtection="1">
      <alignment wrapText="1"/>
      <protection hidden="1"/>
    </xf>
    <xf numFmtId="2" fontId="41" fillId="0" borderId="0" xfId="0" applyNumberFormat="1" applyFont="1" applyProtection="1">
      <protection hidden="1"/>
    </xf>
    <xf numFmtId="1" fontId="42" fillId="5" borderId="1" xfId="0" applyNumberFormat="1" applyFont="1" applyFill="1" applyBorder="1" applyProtection="1">
      <protection hidden="1"/>
    </xf>
    <xf numFmtId="1" fontId="43" fillId="5" borderId="1" xfId="0" applyNumberFormat="1" applyFont="1" applyFill="1" applyBorder="1" applyAlignment="1" applyProtection="1">
      <alignment horizontal="center"/>
      <protection hidden="1"/>
    </xf>
    <xf numFmtId="1" fontId="43" fillId="0" borderId="0" xfId="0" applyNumberFormat="1" applyFont="1" applyProtection="1">
      <protection hidden="1"/>
    </xf>
    <xf numFmtId="2" fontId="4" fillId="0" borderId="1" xfId="0" applyNumberFormat="1" applyFont="1" applyBorder="1" applyProtection="1">
      <protection hidden="1"/>
    </xf>
    <xf numFmtId="2" fontId="44" fillId="0" borderId="1" xfId="0" applyNumberFormat="1" applyFont="1" applyBorder="1" applyAlignment="1" applyProtection="1">
      <alignment horizontal="center"/>
      <protection hidden="1"/>
    </xf>
    <xf numFmtId="2" fontId="44" fillId="0" borderId="0" xfId="0" applyNumberFormat="1" applyFont="1" applyProtection="1">
      <protection hidden="1"/>
    </xf>
    <xf numFmtId="2" fontId="43" fillId="0" borderId="1" xfId="0" applyNumberFormat="1" applyFont="1" applyBorder="1" applyProtection="1">
      <protection hidden="1"/>
    </xf>
    <xf numFmtId="2" fontId="44" fillId="0" borderId="1" xfId="0" applyNumberFormat="1" applyFont="1" applyBorder="1" applyProtection="1">
      <protection hidden="1"/>
    </xf>
    <xf numFmtId="2" fontId="8" fillId="0" borderId="1" xfId="0" applyNumberFormat="1" applyFont="1" applyBorder="1" applyProtection="1">
      <protection hidden="1"/>
    </xf>
    <xf numFmtId="2" fontId="43" fillId="0" borderId="1" xfId="0" applyNumberFormat="1" applyFont="1" applyBorder="1" applyAlignment="1" applyProtection="1">
      <alignment horizontal="center"/>
      <protection hidden="1"/>
    </xf>
    <xf numFmtId="2" fontId="43" fillId="0" borderId="0" xfId="0" applyNumberFormat="1" applyFont="1" applyProtection="1">
      <protection hidden="1"/>
    </xf>
    <xf numFmtId="2" fontId="8" fillId="3" borderId="1" xfId="0" applyNumberFormat="1" applyFont="1" applyFill="1" applyBorder="1" applyAlignment="1" applyProtection="1">
      <alignment horizontal="center"/>
      <protection hidden="1"/>
    </xf>
    <xf numFmtId="2" fontId="43" fillId="5" borderId="1" xfId="0" applyNumberFormat="1" applyFont="1" applyFill="1" applyBorder="1" applyProtection="1">
      <protection hidden="1"/>
    </xf>
    <xf numFmtId="2" fontId="8" fillId="0" borderId="1" xfId="0" applyNumberFormat="1" applyFont="1" applyBorder="1" applyAlignment="1" applyProtection="1">
      <alignment wrapText="1"/>
      <protection hidden="1"/>
    </xf>
    <xf numFmtId="2" fontId="43" fillId="3" borderId="1" xfId="0" applyNumberFormat="1" applyFont="1" applyFill="1" applyBorder="1" applyProtection="1">
      <protection hidden="1"/>
    </xf>
    <xf numFmtId="2" fontId="43" fillId="5" borderId="1" xfId="0" applyNumberFormat="1" applyFont="1" applyFill="1" applyBorder="1" applyAlignment="1" applyProtection="1">
      <alignment horizontal="center"/>
      <protection hidden="1"/>
    </xf>
    <xf numFmtId="2" fontId="4" fillId="5" borderId="1" xfId="0" applyNumberFormat="1" applyFont="1" applyFill="1" applyBorder="1" applyProtection="1">
      <protection hidden="1"/>
    </xf>
    <xf numFmtId="2" fontId="4" fillId="0" borderId="0" xfId="0" applyNumberFormat="1" applyFont="1" applyProtection="1">
      <protection hidden="1"/>
    </xf>
    <xf numFmtId="2" fontId="44" fillId="0" borderId="0" xfId="0" applyNumberFormat="1" applyFont="1" applyAlignment="1" applyProtection="1">
      <alignment horizontal="center"/>
      <protection hidden="1"/>
    </xf>
    <xf numFmtId="0" fontId="36" fillId="0" borderId="1" xfId="0" applyFont="1" applyBorder="1"/>
    <xf numFmtId="2" fontId="36" fillId="0" borderId="1" xfId="0" applyNumberFormat="1" applyFont="1" applyBorder="1" applyAlignment="1">
      <alignment horizontal="center"/>
    </xf>
    <xf numFmtId="0" fontId="36" fillId="0" borderId="0" xfId="0" applyFont="1"/>
    <xf numFmtId="2" fontId="36" fillId="0" borderId="1" xfId="0" applyNumberFormat="1" applyFont="1" applyBorder="1" applyAlignment="1">
      <alignment wrapText="1"/>
    </xf>
    <xf numFmtId="2" fontId="36" fillId="3" borderId="1" xfId="0" applyNumberFormat="1" applyFont="1" applyFill="1" applyBorder="1" applyAlignment="1">
      <alignment horizontal="center"/>
    </xf>
    <xf numFmtId="2" fontId="36" fillId="0" borderId="0" xfId="0" applyNumberFormat="1" applyFont="1"/>
    <xf numFmtId="2" fontId="8" fillId="6" borderId="2" xfId="0" applyNumberFormat="1" applyFont="1" applyFill="1" applyBorder="1" applyAlignment="1" applyProtection="1">
      <alignment horizontal="center" vertical="top"/>
      <protection hidden="1"/>
    </xf>
    <xf numFmtId="2" fontId="8" fillId="6" borderId="5" xfId="0" applyNumberFormat="1" applyFont="1" applyFill="1" applyBorder="1" applyAlignment="1" applyProtection="1">
      <alignment horizontal="center" vertical="top"/>
      <protection hidden="1"/>
    </xf>
    <xf numFmtId="2" fontId="8" fillId="6" borderId="4" xfId="0" applyNumberFormat="1" applyFont="1" applyFill="1" applyBorder="1" applyAlignment="1" applyProtection="1">
      <alignment horizontal="center" vertical="top"/>
      <protection hidden="1"/>
    </xf>
    <xf numFmtId="1" fontId="8" fillId="6" borderId="2" xfId="0" applyNumberFormat="1" applyFont="1" applyFill="1" applyBorder="1" applyAlignment="1" applyProtection="1">
      <alignment vertical="top"/>
      <protection hidden="1"/>
    </xf>
    <xf numFmtId="1" fontId="4" fillId="0" borderId="0" xfId="0" applyNumberFormat="1" applyFont="1" applyAlignment="1" applyProtection="1">
      <alignment vertical="top"/>
      <protection hidden="1"/>
    </xf>
    <xf numFmtId="1" fontId="8" fillId="6" borderId="4" xfId="0" applyNumberFormat="1" applyFont="1" applyFill="1" applyBorder="1" applyAlignment="1" applyProtection="1">
      <alignment vertical="top"/>
      <protection hidden="1"/>
    </xf>
    <xf numFmtId="2" fontId="8" fillId="6" borderId="2" xfId="0" applyNumberFormat="1" applyFont="1" applyFill="1" applyBorder="1" applyAlignment="1" applyProtection="1">
      <alignment vertical="top" wrapText="1"/>
      <protection hidden="1"/>
    </xf>
    <xf numFmtId="2" fontId="8" fillId="0" borderId="0" xfId="0" applyNumberFormat="1" applyFont="1" applyAlignment="1" applyProtection="1">
      <alignment vertical="top"/>
      <protection hidden="1"/>
    </xf>
    <xf numFmtId="2" fontId="8" fillId="6" borderId="4" xfId="0" applyNumberFormat="1" applyFont="1" applyFill="1" applyBorder="1" applyAlignment="1" applyProtection="1">
      <alignment vertical="top" wrapText="1"/>
      <protection hidden="1"/>
    </xf>
    <xf numFmtId="2" fontId="8" fillId="6" borderId="6" xfId="0" applyNumberFormat="1" applyFont="1" applyFill="1" applyBorder="1" applyAlignment="1" applyProtection="1">
      <alignment horizontal="center" vertical="top"/>
      <protection hidden="1"/>
    </xf>
    <xf numFmtId="2" fontId="8" fillId="6" borderId="10" xfId="0" applyNumberFormat="1" applyFont="1" applyFill="1" applyBorder="1" applyAlignment="1" applyProtection="1">
      <alignment horizontal="center" vertical="top"/>
      <protection hidden="1"/>
    </xf>
    <xf numFmtId="10" fontId="8" fillId="6" borderId="2" xfId="0" applyNumberFormat="1" applyFont="1" applyFill="1" applyBorder="1" applyAlignment="1" applyProtection="1">
      <alignment vertical="top" wrapText="1"/>
      <protection hidden="1"/>
    </xf>
    <xf numFmtId="10" fontId="8" fillId="6" borderId="5" xfId="0" applyNumberFormat="1" applyFont="1" applyFill="1" applyBorder="1" applyAlignment="1" applyProtection="1">
      <alignment horizontal="center" vertical="top"/>
      <protection hidden="1"/>
    </xf>
    <xf numFmtId="10" fontId="8" fillId="0" borderId="0" xfId="0" applyNumberFormat="1" applyFont="1" applyAlignment="1" applyProtection="1">
      <alignment vertical="top"/>
      <protection hidden="1"/>
    </xf>
    <xf numFmtId="10" fontId="8" fillId="6" borderId="4" xfId="0" applyNumberFormat="1" applyFont="1" applyFill="1" applyBorder="1" applyAlignment="1" applyProtection="1">
      <alignment vertical="top" wrapText="1"/>
      <protection hidden="1"/>
    </xf>
    <xf numFmtId="10" fontId="8" fillId="6" borderId="7" xfId="0" applyNumberFormat="1" applyFont="1" applyFill="1" applyBorder="1" applyAlignment="1">
      <alignment vertical="top" wrapText="1"/>
    </xf>
    <xf numFmtId="10" fontId="8" fillId="6" borderId="2" xfId="0" applyNumberFormat="1" applyFont="1" applyFill="1" applyBorder="1" applyAlignment="1">
      <alignment horizontal="center" vertical="top"/>
    </xf>
    <xf numFmtId="10" fontId="8" fillId="0" borderId="0" xfId="0" applyNumberFormat="1" applyFont="1" applyAlignment="1">
      <alignment vertical="top"/>
    </xf>
    <xf numFmtId="10" fontId="8" fillId="6" borderId="9" xfId="0" applyNumberFormat="1" applyFont="1" applyFill="1" applyBorder="1" applyAlignment="1" applyProtection="1">
      <alignment vertical="top" wrapText="1"/>
      <protection hidden="1"/>
    </xf>
    <xf numFmtId="0" fontId="63" fillId="0" borderId="0" xfId="0" applyFont="1" applyAlignment="1">
      <alignment wrapText="1"/>
    </xf>
    <xf numFmtId="0" fontId="62" fillId="0" borderId="1" xfId="0" applyFont="1" applyBorder="1" applyAlignment="1">
      <alignment wrapText="1"/>
    </xf>
    <xf numFmtId="0" fontId="63" fillId="0" borderId="1" xfId="0" applyFont="1" applyBorder="1" applyAlignment="1">
      <alignment wrapText="1"/>
    </xf>
    <xf numFmtId="2" fontId="63" fillId="0" borderId="1" xfId="0" applyNumberFormat="1" applyFont="1" applyBorder="1" applyAlignment="1">
      <alignment horizontal="center"/>
    </xf>
    <xf numFmtId="0" fontId="62" fillId="5" borderId="1" xfId="0" applyFont="1" applyFill="1" applyBorder="1" applyAlignment="1">
      <alignment wrapText="1"/>
    </xf>
    <xf numFmtId="0" fontId="62" fillId="0" borderId="1" xfId="0" applyFont="1" applyBorder="1" applyAlignment="1">
      <alignment horizontal="center"/>
    </xf>
    <xf numFmtId="2" fontId="62" fillId="0" borderId="1" xfId="0" applyNumberFormat="1" applyFont="1" applyBorder="1" applyAlignment="1">
      <alignment horizontal="center"/>
    </xf>
    <xf numFmtId="0" fontId="62" fillId="0" borderId="0" xfId="0" applyFont="1"/>
    <xf numFmtId="0" fontId="36" fillId="0" borderId="12" xfId="0" applyFont="1" applyBorder="1" applyAlignment="1">
      <alignment wrapText="1"/>
    </xf>
    <xf numFmtId="0" fontId="63" fillId="5" borderId="1" xfId="0" applyFont="1" applyFill="1" applyBorder="1" applyAlignment="1">
      <alignment horizontal="center"/>
    </xf>
    <xf numFmtId="0" fontId="63" fillId="0" borderId="0" xfId="0" applyFont="1"/>
    <xf numFmtId="0" fontId="63" fillId="0" borderId="1" xfId="0" applyFont="1" applyBorder="1" applyAlignment="1">
      <alignment horizontal="center"/>
    </xf>
    <xf numFmtId="0" fontId="62" fillId="5" borderId="11" xfId="0" applyFont="1" applyFill="1" applyBorder="1" applyAlignment="1">
      <alignment horizontal="left"/>
    </xf>
    <xf numFmtId="0" fontId="63" fillId="0" borderId="11" xfId="0" applyFont="1" applyBorder="1" applyAlignment="1">
      <alignment horizontal="left" wrapText="1"/>
    </xf>
    <xf numFmtId="0" fontId="62" fillId="0" borderId="1" xfId="0" applyFont="1" applyBorder="1" applyAlignment="1">
      <alignment horizontal="center" wrapText="1"/>
    </xf>
    <xf numFmtId="2" fontId="63" fillId="9" borderId="1" xfId="0" applyNumberFormat="1" applyFont="1" applyFill="1" applyBorder="1" applyAlignment="1">
      <alignment horizontal="center"/>
    </xf>
    <xf numFmtId="0" fontId="35" fillId="0" borderId="1" xfId="0" applyFont="1" applyBorder="1" applyAlignment="1">
      <alignment wrapText="1"/>
    </xf>
    <xf numFmtId="2" fontId="62" fillId="9" borderId="1" xfId="0" applyNumberFormat="1" applyFont="1" applyFill="1" applyBorder="1" applyAlignment="1">
      <alignment horizontal="center"/>
    </xf>
    <xf numFmtId="0" fontId="63" fillId="0" borderId="0" xfId="0" applyFont="1" applyAlignment="1">
      <alignment horizontal="center"/>
    </xf>
    <xf numFmtId="2" fontId="63" fillId="0" borderId="0" xfId="0" applyNumberFormat="1" applyFont="1" applyAlignment="1">
      <alignment horizontal="center"/>
    </xf>
    <xf numFmtId="2" fontId="36" fillId="0" borderId="1" xfId="0" applyNumberFormat="1" applyFont="1" applyBorder="1" applyAlignment="1">
      <alignment horizontal="center" wrapText="1"/>
    </xf>
    <xf numFmtId="0" fontId="8" fillId="0" borderId="1" xfId="0" applyFont="1" applyBorder="1"/>
    <xf numFmtId="2" fontId="36" fillId="0" borderId="1" xfId="2" applyNumberFormat="1" applyFont="1" applyBorder="1" applyAlignment="1">
      <alignment horizontal="center"/>
    </xf>
    <xf numFmtId="0" fontId="36" fillId="0" borderId="0" xfId="2" applyFont="1" applyAlignment="1">
      <alignment horizontal="left"/>
    </xf>
    <xf numFmtId="0" fontId="4" fillId="9" borderId="7" xfId="0" applyFont="1" applyFill="1" applyBorder="1"/>
    <xf numFmtId="0" fontId="4" fillId="9" borderId="15" xfId="0" applyFont="1" applyFill="1" applyBorder="1"/>
    <xf numFmtId="0" fontId="4" fillId="9" borderId="5" xfId="0" applyFont="1" applyFill="1" applyBorder="1"/>
    <xf numFmtId="0" fontId="4" fillId="9" borderId="9" xfId="0" applyFont="1" applyFill="1" applyBorder="1"/>
    <xf numFmtId="0" fontId="4" fillId="9" borderId="14" xfId="0" applyFont="1" applyFill="1" applyBorder="1"/>
    <xf numFmtId="0" fontId="4" fillId="9" borderId="10" xfId="0" applyFont="1" applyFill="1" applyBorder="1"/>
    <xf numFmtId="2" fontId="45" fillId="5" borderId="14" xfId="0" applyNumberFormat="1" applyFont="1" applyFill="1" applyBorder="1" applyAlignment="1" applyProtection="1">
      <alignment horizontal="left"/>
      <protection hidden="1"/>
    </xf>
    <xf numFmtId="2" fontId="36" fillId="5" borderId="14" xfId="0" applyNumberFormat="1" applyFont="1" applyFill="1" applyBorder="1" applyProtection="1">
      <protection hidden="1"/>
    </xf>
    <xf numFmtId="10" fontId="8" fillId="6" borderId="4" xfId="0" applyNumberFormat="1" applyFont="1" applyFill="1" applyBorder="1" applyAlignment="1" applyProtection="1">
      <alignment horizontal="center"/>
      <protection hidden="1"/>
    </xf>
    <xf numFmtId="2" fontId="8" fillId="6" borderId="2" xfId="0" applyNumberFormat="1" applyFont="1" applyFill="1" applyBorder="1" applyProtection="1">
      <protection hidden="1"/>
    </xf>
    <xf numFmtId="2" fontId="35" fillId="10" borderId="0" xfId="0" applyNumberFormat="1" applyFont="1" applyFill="1" applyAlignment="1" applyProtection="1">
      <alignment vertical="top"/>
      <protection hidden="1"/>
    </xf>
    <xf numFmtId="2" fontId="64" fillId="10" borderId="0" xfId="0" applyNumberFormat="1" applyFont="1" applyFill="1" applyProtection="1">
      <protection hidden="1"/>
    </xf>
    <xf numFmtId="2" fontId="8" fillId="6" borderId="7" xfId="0" applyNumberFormat="1" applyFont="1" applyFill="1" applyBorder="1" applyAlignment="1" applyProtection="1">
      <alignment vertical="top" wrapText="1"/>
      <protection hidden="1"/>
    </xf>
    <xf numFmtId="2" fontId="8" fillId="6" borderId="9" xfId="0" applyNumberFormat="1" applyFont="1" applyFill="1" applyBorder="1" applyAlignment="1" applyProtection="1">
      <alignment vertical="top" wrapText="1"/>
      <protection hidden="1"/>
    </xf>
    <xf numFmtId="2" fontId="36" fillId="3" borderId="1" xfId="2" applyNumberFormat="1" applyFont="1" applyFill="1" applyBorder="1" applyAlignment="1" applyProtection="1">
      <alignment horizontal="center"/>
      <protection locked="0"/>
    </xf>
    <xf numFmtId="1" fontId="36" fillId="9" borderId="1" xfId="0" applyNumberFormat="1" applyFont="1" applyFill="1" applyBorder="1" applyAlignment="1" applyProtection="1">
      <alignment horizontal="center"/>
      <protection hidden="1"/>
    </xf>
    <xf numFmtId="2" fontId="73" fillId="3" borderId="3" xfId="0" applyNumberFormat="1" applyFont="1" applyFill="1" applyBorder="1" applyProtection="1">
      <protection locked="0"/>
    </xf>
    <xf numFmtId="10" fontId="8" fillId="6" borderId="2" xfId="0" applyNumberFormat="1" applyFont="1" applyFill="1" applyBorder="1" applyAlignment="1" applyProtection="1">
      <alignment horizontal="center" vertical="top"/>
      <protection hidden="1"/>
    </xf>
    <xf numFmtId="166" fontId="8" fillId="4" borderId="1" xfId="0" quotePrefix="1" applyNumberFormat="1" applyFont="1" applyFill="1" applyBorder="1" applyAlignment="1">
      <alignment horizontal="center"/>
    </xf>
    <xf numFmtId="166" fontId="0" fillId="4" borderId="0" xfId="0" applyNumberFormat="1" applyFill="1"/>
    <xf numFmtId="166" fontId="0" fillId="2" borderId="0" xfId="0" applyNumberFormat="1" applyFill="1"/>
    <xf numFmtId="2" fontId="8" fillId="6" borderId="10" xfId="3" applyNumberFormat="1" applyFont="1" applyFill="1" applyBorder="1" applyAlignment="1" applyProtection="1">
      <alignment horizontal="center" vertical="top"/>
      <protection hidden="1"/>
    </xf>
    <xf numFmtId="10" fontId="8" fillId="6" borderId="7" xfId="0" applyNumberFormat="1" applyFont="1" applyFill="1" applyBorder="1" applyAlignment="1" applyProtection="1">
      <alignment vertical="top" wrapText="1"/>
      <protection hidden="1"/>
    </xf>
    <xf numFmtId="1" fontId="36" fillId="5" borderId="1" xfId="0" quotePrefix="1" applyNumberFormat="1" applyFont="1" applyFill="1" applyBorder="1" applyAlignment="1" applyProtection="1">
      <alignment horizontal="left" vertical="top" wrapText="1"/>
      <protection hidden="1"/>
    </xf>
    <xf numFmtId="166" fontId="3" fillId="4" borderId="0" xfId="0" applyNumberFormat="1" applyFont="1" applyFill="1"/>
    <xf numFmtId="166" fontId="0" fillId="4" borderId="0" xfId="0" applyNumberFormat="1" applyFill="1" applyProtection="1">
      <protection locked="0"/>
    </xf>
    <xf numFmtId="166" fontId="0" fillId="4" borderId="0" xfId="0" applyNumberFormat="1" applyFill="1" applyAlignment="1">
      <alignment horizontal="center"/>
    </xf>
    <xf numFmtId="0" fontId="0" fillId="2" borderId="0" xfId="0" applyFill="1"/>
    <xf numFmtId="166" fontId="8" fillId="3" borderId="1" xfId="0" quotePrefix="1" applyNumberFormat="1" applyFont="1" applyFill="1" applyBorder="1" applyAlignment="1">
      <alignment horizontal="center"/>
    </xf>
    <xf numFmtId="2" fontId="0" fillId="4" borderId="0" xfId="0" applyNumberFormat="1" applyFill="1"/>
    <xf numFmtId="166" fontId="22" fillId="4" borderId="0" xfId="0" applyNumberFormat="1" applyFont="1" applyFill="1"/>
    <xf numFmtId="166" fontId="8" fillId="4" borderId="0" xfId="0" applyNumberFormat="1" applyFont="1" applyFill="1" applyAlignment="1">
      <alignment horizontal="left"/>
    </xf>
    <xf numFmtId="166" fontId="9" fillId="4" borderId="0" xfId="0" quotePrefix="1" applyNumberFormat="1" applyFont="1" applyFill="1" applyAlignment="1">
      <alignment horizontal="center"/>
    </xf>
    <xf numFmtId="166" fontId="9" fillId="12" borderId="1" xfId="0" quotePrefix="1" applyNumberFormat="1" applyFont="1" applyFill="1" applyBorder="1" applyAlignment="1">
      <alignment horizontal="center"/>
    </xf>
    <xf numFmtId="10" fontId="10" fillId="3" borderId="1" xfId="3" applyNumberFormat="1" applyFont="1" applyFill="1" applyBorder="1" applyAlignment="1" applyProtection="1">
      <alignment horizontal="center"/>
      <protection locked="0"/>
    </xf>
    <xf numFmtId="167" fontId="10" fillId="3" borderId="1" xfId="3" quotePrefix="1" applyNumberFormat="1" applyFont="1" applyFill="1" applyBorder="1" applyAlignment="1" applyProtection="1">
      <alignment horizontal="center"/>
      <protection locked="0"/>
    </xf>
    <xf numFmtId="166" fontId="10" fillId="3" borderId="1" xfId="3" applyNumberFormat="1" applyFont="1" applyFill="1" applyBorder="1" applyAlignment="1" applyProtection="1">
      <alignment horizontal="center"/>
      <protection locked="0"/>
    </xf>
    <xf numFmtId="166" fontId="10" fillId="4" borderId="0" xfId="3" quotePrefix="1" applyNumberFormat="1" applyFont="1" applyFill="1" applyBorder="1" applyAlignment="1" applyProtection="1">
      <alignment horizontal="center"/>
    </xf>
    <xf numFmtId="166" fontId="10" fillId="4" borderId="0" xfId="0" quotePrefix="1" applyNumberFormat="1" applyFont="1" applyFill="1" applyAlignment="1">
      <alignment horizontal="center"/>
    </xf>
    <xf numFmtId="166" fontId="11" fillId="4" borderId="0" xfId="0" quotePrefix="1" applyNumberFormat="1" applyFont="1" applyFill="1" applyAlignment="1">
      <alignment horizontal="left" indent="6"/>
    </xf>
    <xf numFmtId="166" fontId="11" fillId="4" borderId="0" xfId="0" applyNumberFormat="1" applyFont="1" applyFill="1" applyAlignment="1">
      <alignment horizontal="left" indent="6"/>
    </xf>
    <xf numFmtId="166" fontId="13" fillId="12" borderId="1" xfId="0" applyNumberFormat="1" applyFont="1" applyFill="1" applyBorder="1" applyAlignment="1">
      <alignment horizontal="center"/>
    </xf>
    <xf numFmtId="166" fontId="13" fillId="12" borderId="11" xfId="0" applyNumberFormat="1" applyFont="1" applyFill="1" applyBorder="1" applyAlignment="1">
      <alignment horizontal="center"/>
    </xf>
    <xf numFmtId="166" fontId="13" fillId="12" borderId="1" xfId="0" quotePrefix="1" applyNumberFormat="1" applyFont="1" applyFill="1" applyBorder="1" applyAlignment="1">
      <alignment horizontal="center"/>
    </xf>
    <xf numFmtId="166" fontId="0" fillId="4" borderId="8" xfId="0" applyNumberFormat="1" applyFill="1" applyBorder="1" applyAlignment="1">
      <alignment horizontal="center"/>
    </xf>
    <xf numFmtId="167" fontId="10" fillId="3" borderId="1" xfId="3" applyNumberFormat="1" applyFont="1" applyFill="1" applyBorder="1" applyAlignment="1" applyProtection="1">
      <alignment horizontal="center"/>
      <protection locked="0"/>
    </xf>
    <xf numFmtId="166" fontId="1" fillId="4" borderId="8" xfId="3" applyNumberFormat="1" applyFill="1" applyBorder="1" applyAlignment="1" applyProtection="1">
      <alignment horizontal="center"/>
    </xf>
    <xf numFmtId="166" fontId="1" fillId="4" borderId="0" xfId="3" applyNumberFormat="1" applyFill="1" applyBorder="1" applyAlignment="1" applyProtection="1">
      <alignment horizontal="center"/>
    </xf>
    <xf numFmtId="166" fontId="10" fillId="4" borderId="0" xfId="3" applyNumberFormat="1" applyFont="1" applyFill="1" applyBorder="1" applyAlignment="1" applyProtection="1">
      <alignment horizontal="center"/>
    </xf>
    <xf numFmtId="166" fontId="10" fillId="4" borderId="13" xfId="3" applyNumberFormat="1" applyFont="1" applyFill="1" applyBorder="1" applyAlignment="1" applyProtection="1">
      <alignment horizontal="center"/>
    </xf>
    <xf numFmtId="14" fontId="8" fillId="3" borderId="1" xfId="3" applyNumberFormat="1" applyFont="1" applyFill="1" applyBorder="1" applyAlignment="1" applyProtection="1">
      <alignment horizontal="center"/>
      <protection locked="0"/>
    </xf>
    <xf numFmtId="10" fontId="10" fillId="4" borderId="0" xfId="3" applyNumberFormat="1" applyFont="1" applyFill="1" applyBorder="1" applyAlignment="1" applyProtection="1">
      <alignment horizontal="center"/>
    </xf>
    <xf numFmtId="9" fontId="10" fillId="4" borderId="0" xfId="3" quotePrefix="1" applyFont="1" applyFill="1" applyBorder="1" applyAlignment="1" applyProtection="1">
      <alignment horizontal="center"/>
    </xf>
    <xf numFmtId="9" fontId="10" fillId="4" borderId="0" xfId="3" applyFont="1" applyFill="1" applyBorder="1" applyAlignment="1" applyProtection="1">
      <alignment horizontal="center"/>
    </xf>
    <xf numFmtId="9" fontId="1" fillId="4" borderId="0" xfId="3" applyFill="1" applyBorder="1" applyAlignment="1" applyProtection="1">
      <alignment horizontal="center"/>
    </xf>
    <xf numFmtId="0" fontId="0" fillId="4" borderId="0" xfId="0" applyFill="1"/>
    <xf numFmtId="0" fontId="0" fillId="4" borderId="0" xfId="0" applyFill="1" applyAlignment="1">
      <alignment horizontal="center"/>
    </xf>
    <xf numFmtId="0" fontId="0" fillId="12" borderId="1" xfId="0" applyFill="1" applyBorder="1" applyAlignment="1">
      <alignment horizontal="center"/>
    </xf>
    <xf numFmtId="166" fontId="0" fillId="3" borderId="1" xfId="0" applyNumberFormat="1" applyFill="1" applyBorder="1" applyAlignment="1" applyProtection="1">
      <alignment horizontal="right"/>
      <protection locked="0"/>
    </xf>
    <xf numFmtId="0" fontId="8" fillId="4" borderId="0" xfId="0" applyFont="1" applyFill="1"/>
    <xf numFmtId="166" fontId="0" fillId="12" borderId="1" xfId="0" applyNumberFormat="1" applyFill="1" applyBorder="1" applyAlignment="1">
      <alignment horizontal="right"/>
    </xf>
    <xf numFmtId="2" fontId="0" fillId="4" borderId="0" xfId="0" applyNumberFormat="1" applyFill="1" applyAlignment="1">
      <alignment horizontal="right"/>
    </xf>
    <xf numFmtId="0" fontId="12" fillId="4" borderId="0" xfId="0" applyFont="1" applyFill="1"/>
    <xf numFmtId="0" fontId="0" fillId="4" borderId="0" xfId="0" applyFill="1" applyAlignment="1" applyProtection="1">
      <alignment horizontal="center"/>
      <protection locked="0"/>
    </xf>
    <xf numFmtId="167" fontId="0" fillId="3" borderId="4" xfId="0" applyNumberFormat="1" applyFill="1" applyBorder="1" applyAlignment="1" applyProtection="1">
      <alignment horizontal="center"/>
      <protection locked="0"/>
    </xf>
    <xf numFmtId="0" fontId="0" fillId="4" borderId="0" xfId="0" applyFill="1" applyProtection="1">
      <protection locked="0"/>
    </xf>
    <xf numFmtId="0" fontId="0" fillId="2" borderId="1" xfId="0" applyFill="1" applyBorder="1"/>
    <xf numFmtId="0" fontId="7" fillId="12" borderId="1" xfId="0" applyFont="1" applyFill="1" applyBorder="1" applyAlignment="1">
      <alignment horizontal="center"/>
    </xf>
    <xf numFmtId="2" fontId="7" fillId="12" borderId="1" xfId="0" applyNumberFormat="1" applyFont="1" applyFill="1" applyBorder="1" applyAlignment="1">
      <alignment horizontal="center"/>
    </xf>
    <xf numFmtId="2" fontId="7" fillId="4" borderId="0" xfId="0" applyNumberFormat="1" applyFont="1" applyFill="1" applyAlignment="1">
      <alignment horizontal="center"/>
    </xf>
    <xf numFmtId="166" fontId="0" fillId="3" borderId="1" xfId="0" applyNumberFormat="1" applyFill="1" applyBorder="1" applyAlignment="1" applyProtection="1">
      <alignment horizontal="center"/>
      <protection locked="0"/>
    </xf>
    <xf numFmtId="2" fontId="0" fillId="4" borderId="0" xfId="0" applyNumberFormat="1" applyFill="1" applyAlignment="1">
      <alignment horizontal="center"/>
    </xf>
    <xf numFmtId="0" fontId="11" fillId="4" borderId="0" xfId="0" applyFont="1" applyFill="1" applyAlignment="1">
      <alignment horizontal="left" indent="6"/>
    </xf>
    <xf numFmtId="10" fontId="0" fillId="4" borderId="0" xfId="0" applyNumberFormat="1" applyFill="1" applyAlignment="1">
      <alignment horizontal="center"/>
    </xf>
    <xf numFmtId="2" fontId="0" fillId="4" borderId="0" xfId="0" applyNumberFormat="1" applyFill="1" applyAlignment="1" applyProtection="1">
      <alignment horizontal="center"/>
      <protection locked="0"/>
    </xf>
    <xf numFmtId="0" fontId="1" fillId="4" borderId="0" xfId="0" applyFont="1" applyFill="1"/>
    <xf numFmtId="0" fontId="1" fillId="3" borderId="1" xfId="0" applyFont="1" applyFill="1" applyBorder="1" applyAlignment="1" applyProtection="1">
      <alignment horizontal="center" vertical="center"/>
      <protection locked="0"/>
    </xf>
    <xf numFmtId="0" fontId="11" fillId="4" borderId="0" xfId="0" applyFont="1" applyFill="1" applyAlignment="1">
      <alignment horizontal="left" vertical="top" indent="6"/>
    </xf>
    <xf numFmtId="0" fontId="1" fillId="3" borderId="1" xfId="0" applyFont="1" applyFill="1" applyBorder="1" applyAlignment="1" applyProtection="1">
      <alignment horizontal="center"/>
      <protection locked="0"/>
    </xf>
    <xf numFmtId="1" fontId="1" fillId="2" borderId="0" xfId="0" applyNumberFormat="1" applyFont="1" applyFill="1" applyAlignment="1">
      <alignment horizontal="center"/>
    </xf>
    <xf numFmtId="0" fontId="1" fillId="2" borderId="0" xfId="0" applyFont="1" applyFill="1"/>
    <xf numFmtId="1" fontId="0" fillId="2" borderId="0" xfId="0" applyNumberFormat="1" applyFill="1" applyAlignment="1">
      <alignment horizontal="center"/>
    </xf>
    <xf numFmtId="0" fontId="17" fillId="4" borderId="0" xfId="0" applyFont="1" applyFill="1"/>
    <xf numFmtId="0" fontId="4" fillId="4" borderId="0" xfId="0" applyFont="1" applyFill="1"/>
    <xf numFmtId="0" fontId="10" fillId="4" borderId="0" xfId="0" applyFont="1" applyFill="1"/>
    <xf numFmtId="0" fontId="0" fillId="4" borderId="0" xfId="0" applyFill="1" applyAlignment="1">
      <alignment horizontal="right"/>
    </xf>
    <xf numFmtId="0" fontId="10" fillId="4" borderId="2" xfId="0" applyFont="1" applyFill="1" applyBorder="1" applyAlignment="1">
      <alignment horizontal="center"/>
    </xf>
    <xf numFmtId="1" fontId="4" fillId="4" borderId="3" xfId="0" applyNumberFormat="1" applyFont="1" applyFill="1" applyBorder="1" applyAlignment="1">
      <alignment horizontal="center"/>
    </xf>
    <xf numFmtId="0" fontId="4" fillId="4" borderId="4" xfId="0" applyFont="1" applyFill="1" applyBorder="1" applyAlignment="1">
      <alignment horizontal="center"/>
    </xf>
    <xf numFmtId="0" fontId="0" fillId="4" borderId="0" xfId="0" quotePrefix="1" applyFill="1" applyAlignment="1">
      <alignment horizontal="right"/>
    </xf>
    <xf numFmtId="0" fontId="18" fillId="4" borderId="0" xfId="0" applyFont="1" applyFill="1"/>
    <xf numFmtId="0" fontId="19" fillId="4" borderId="0" xfId="0" applyFont="1" applyFill="1"/>
    <xf numFmtId="2" fontId="18" fillId="4" borderId="2" xfId="0" applyNumberFormat="1" applyFont="1" applyFill="1" applyBorder="1"/>
    <xf numFmtId="2" fontId="18" fillId="4" borderId="4" xfId="0" applyNumberFormat="1" applyFont="1" applyFill="1" applyBorder="1"/>
    <xf numFmtId="2" fontId="18" fillId="4" borderId="10" xfId="0" applyNumberFormat="1" applyFont="1" applyFill="1" applyBorder="1"/>
    <xf numFmtId="0" fontId="20" fillId="4" borderId="0" xfId="0" applyFont="1" applyFill="1"/>
    <xf numFmtId="2" fontId="20" fillId="4" borderId="4" xfId="0" applyNumberFormat="1" applyFont="1" applyFill="1" applyBorder="1"/>
    <xf numFmtId="0" fontId="21" fillId="4" borderId="0" xfId="0" applyFont="1" applyFill="1"/>
    <xf numFmtId="2" fontId="21" fillId="4" borderId="2" xfId="0" applyNumberFormat="1" applyFont="1" applyFill="1" applyBorder="1"/>
    <xf numFmtId="2" fontId="21" fillId="4" borderId="3" xfId="0" applyNumberFormat="1" applyFont="1" applyFill="1" applyBorder="1"/>
    <xf numFmtId="2" fontId="21" fillId="4" borderId="6" xfId="0" applyNumberFormat="1" applyFont="1" applyFill="1" applyBorder="1"/>
    <xf numFmtId="0" fontId="4" fillId="4" borderId="0" xfId="0" quotePrefix="1" applyFont="1" applyFill="1" applyAlignment="1">
      <alignment horizontal="right"/>
    </xf>
    <xf numFmtId="0" fontId="29" fillId="4" borderId="0" xfId="0" applyFont="1" applyFill="1"/>
    <xf numFmtId="0" fontId="29" fillId="2" borderId="0" xfId="0" applyFont="1" applyFill="1"/>
    <xf numFmtId="0" fontId="0" fillId="4" borderId="2" xfId="0" applyFill="1" applyBorder="1"/>
    <xf numFmtId="0" fontId="18" fillId="4" borderId="2" xfId="0" applyFont="1" applyFill="1" applyBorder="1"/>
    <xf numFmtId="0" fontId="0" fillId="4" borderId="3" xfId="0" applyFill="1" applyBorder="1"/>
    <xf numFmtId="9" fontId="1" fillId="4" borderId="3" xfId="3" applyFill="1" applyBorder="1" applyProtection="1"/>
    <xf numFmtId="10" fontId="1" fillId="4" borderId="0" xfId="3" applyNumberFormat="1" applyFill="1" applyProtection="1"/>
    <xf numFmtId="2" fontId="20" fillId="4" borderId="3" xfId="0" applyNumberFormat="1" applyFont="1" applyFill="1" applyBorder="1"/>
    <xf numFmtId="2" fontId="0" fillId="4" borderId="3" xfId="0" applyNumberFormat="1" applyFill="1" applyBorder="1"/>
    <xf numFmtId="2" fontId="18" fillId="4" borderId="3" xfId="0" applyNumberFormat="1" applyFont="1" applyFill="1" applyBorder="1"/>
    <xf numFmtId="0" fontId="0" fillId="4" borderId="0" xfId="0" quotePrefix="1" applyFill="1" applyAlignment="1">
      <alignment horizontal="left"/>
    </xf>
    <xf numFmtId="2" fontId="0" fillId="4" borderId="2" xfId="0" applyNumberFormat="1" applyFill="1" applyBorder="1"/>
    <xf numFmtId="2" fontId="0" fillId="4" borderId="5" xfId="0" applyNumberFormat="1" applyFill="1" applyBorder="1"/>
    <xf numFmtId="0" fontId="8" fillId="4" borderId="0" xfId="0" applyFont="1" applyFill="1" applyAlignment="1">
      <alignment horizontal="right"/>
    </xf>
    <xf numFmtId="0" fontId="4" fillId="4" borderId="0" xfId="0" quotePrefix="1" applyFont="1" applyFill="1" applyAlignment="1">
      <alignment horizontal="left"/>
    </xf>
    <xf numFmtId="2" fontId="17" fillId="4" borderId="0" xfId="0" applyNumberFormat="1" applyFont="1" applyFill="1"/>
    <xf numFmtId="2" fontId="10" fillId="4" borderId="2" xfId="0" applyNumberFormat="1" applyFont="1" applyFill="1" applyBorder="1" applyAlignment="1">
      <alignment horizontal="center"/>
    </xf>
    <xf numFmtId="1" fontId="26" fillId="4" borderId="3" xfId="0" applyNumberFormat="1" applyFont="1" applyFill="1" applyBorder="1" applyAlignment="1">
      <alignment horizontal="center"/>
    </xf>
    <xf numFmtId="2" fontId="26" fillId="4" borderId="4" xfId="0" applyNumberFormat="1" applyFont="1" applyFill="1" applyBorder="1" applyAlignment="1">
      <alignment horizontal="center"/>
    </xf>
    <xf numFmtId="2" fontId="22" fillId="3" borderId="3" xfId="0" applyNumberFormat="1" applyFont="1" applyFill="1" applyBorder="1" applyProtection="1">
      <protection locked="0"/>
    </xf>
    <xf numFmtId="0" fontId="8" fillId="4" borderId="0" xfId="0" quotePrefix="1" applyFont="1" applyFill="1" applyAlignment="1">
      <alignment horizontal="left"/>
    </xf>
    <xf numFmtId="2" fontId="1" fillId="4" borderId="3" xfId="3" applyNumberFormat="1" applyFill="1" applyBorder="1" applyProtection="1"/>
    <xf numFmtId="2" fontId="0" fillId="4" borderId="6" xfId="0" applyNumberFormat="1" applyFill="1" applyBorder="1"/>
    <xf numFmtId="166" fontId="8" fillId="3" borderId="8" xfId="0" quotePrefix="1" applyNumberFormat="1" applyFont="1" applyFill="1" applyBorder="1" applyAlignment="1" applyProtection="1">
      <alignment horizontal="center"/>
      <protection locked="0"/>
    </xf>
    <xf numFmtId="10" fontId="29" fillId="4" borderId="0" xfId="3" applyNumberFormat="1" applyFont="1" applyFill="1" applyProtection="1"/>
    <xf numFmtId="2" fontId="19" fillId="4" borderId="4" xfId="0" applyNumberFormat="1" applyFont="1" applyFill="1" applyBorder="1"/>
    <xf numFmtId="9" fontId="20" fillId="4" borderId="4" xfId="3" applyFont="1" applyFill="1" applyBorder="1" applyProtection="1"/>
    <xf numFmtId="0" fontId="17" fillId="4" borderId="0" xfId="0" applyFont="1" applyFill="1" applyAlignment="1">
      <alignment horizontal="left"/>
    </xf>
    <xf numFmtId="1" fontId="10" fillId="4" borderId="2" xfId="0" applyNumberFormat="1" applyFont="1" applyFill="1" applyBorder="1" applyAlignment="1">
      <alignment horizontal="center"/>
    </xf>
    <xf numFmtId="0" fontId="32" fillId="4" borderId="0" xfId="0" applyFont="1" applyFill="1"/>
    <xf numFmtId="0" fontId="32" fillId="2" borderId="0" xfId="0" applyFont="1" applyFill="1"/>
    <xf numFmtId="0" fontId="26" fillId="4" borderId="4" xfId="0" applyFont="1" applyFill="1" applyBorder="1" applyAlignment="1">
      <alignment horizontal="center"/>
    </xf>
    <xf numFmtId="0" fontId="0" fillId="4" borderId="4" xfId="0" applyFill="1" applyBorder="1"/>
    <xf numFmtId="2" fontId="0" fillId="4" borderId="8" xfId="0" applyNumberFormat="1" applyFill="1" applyBorder="1"/>
    <xf numFmtId="0" fontId="0" fillId="4" borderId="8" xfId="0" applyFill="1" applyBorder="1"/>
    <xf numFmtId="2" fontId="0" fillId="4" borderId="4" xfId="0" applyNumberFormat="1" applyFill="1" applyBorder="1"/>
    <xf numFmtId="2" fontId="0" fillId="4" borderId="10" xfId="0" applyNumberFormat="1" applyFill="1" applyBorder="1"/>
    <xf numFmtId="0" fontId="56" fillId="4" borderId="0" xfId="0" applyFont="1" applyFill="1"/>
    <xf numFmtId="0" fontId="57" fillId="4" borderId="0" xfId="0" applyFont="1" applyFill="1"/>
    <xf numFmtId="2" fontId="56" fillId="4" borderId="0" xfId="0" applyNumberFormat="1" applyFont="1" applyFill="1"/>
    <xf numFmtId="0" fontId="56" fillId="2" borderId="0" xfId="0" applyFont="1" applyFill="1"/>
    <xf numFmtId="0" fontId="10" fillId="4" borderId="0" xfId="0" applyFont="1" applyFill="1" applyAlignment="1">
      <alignment horizontal="right"/>
    </xf>
    <xf numFmtId="1" fontId="26" fillId="4" borderId="4" xfId="0" applyNumberFormat="1" applyFont="1" applyFill="1" applyBorder="1" applyAlignment="1">
      <alignment horizontal="center"/>
    </xf>
    <xf numFmtId="2" fontId="20" fillId="4" borderId="6" xfId="0" applyNumberFormat="1" applyFont="1" applyFill="1" applyBorder="1"/>
    <xf numFmtId="2" fontId="0" fillId="3" borderId="10" xfId="0" applyNumberFormat="1" applyFill="1" applyBorder="1" applyProtection="1">
      <protection locked="0"/>
    </xf>
    <xf numFmtId="0" fontId="10" fillId="4" borderId="0" xfId="0" quotePrefix="1" applyFont="1" applyFill="1" applyAlignment="1">
      <alignment horizontal="left"/>
    </xf>
    <xf numFmtId="2" fontId="1" fillId="4" borderId="4" xfId="0" applyNumberFormat="1" applyFont="1" applyFill="1" applyBorder="1"/>
    <xf numFmtId="2" fontId="20" fillId="4" borderId="2" xfId="0" applyNumberFormat="1" applyFont="1" applyFill="1" applyBorder="1"/>
    <xf numFmtId="2" fontId="20" fillId="4" borderId="0" xfId="0" applyNumberFormat="1" applyFont="1" applyFill="1"/>
    <xf numFmtId="0" fontId="59" fillId="4" borderId="0" xfId="0" applyFont="1" applyFill="1"/>
    <xf numFmtId="0" fontId="60" fillId="4" borderId="0" xfId="0" applyFont="1" applyFill="1"/>
    <xf numFmtId="2" fontId="59" fillId="4" borderId="0" xfId="0" applyNumberFormat="1" applyFont="1" applyFill="1"/>
    <xf numFmtId="0" fontId="59" fillId="2" borderId="0" xfId="0" applyFont="1" applyFill="1"/>
    <xf numFmtId="0" fontId="4" fillId="5" borderId="15" xfId="0" applyFont="1" applyFill="1" applyBorder="1"/>
    <xf numFmtId="0" fontId="4" fillId="5" borderId="5" xfId="0" applyFont="1" applyFill="1" applyBorder="1"/>
    <xf numFmtId="2" fontId="34" fillId="11" borderId="1" xfId="2" applyNumberFormat="1" applyFont="1" applyFill="1" applyBorder="1" applyAlignment="1">
      <alignment horizontal="center"/>
    </xf>
    <xf numFmtId="2" fontId="35" fillId="11" borderId="2" xfId="2" applyNumberFormat="1" applyFont="1" applyFill="1" applyBorder="1" applyAlignment="1" applyProtection="1">
      <alignment horizontal="center" vertical="center" textRotation="180" wrapText="1"/>
      <protection hidden="1"/>
    </xf>
    <xf numFmtId="168" fontId="47" fillId="13" borderId="0" xfId="2" applyNumberFormat="1" applyFont="1" applyFill="1" applyAlignment="1" applyProtection="1">
      <alignment horizontal="left"/>
      <protection hidden="1"/>
    </xf>
    <xf numFmtId="2" fontId="34" fillId="13" borderId="0" xfId="2" applyNumberFormat="1" applyFont="1" applyFill="1" applyAlignment="1" applyProtection="1">
      <alignment horizontal="center"/>
      <protection hidden="1"/>
    </xf>
    <xf numFmtId="1" fontId="34" fillId="13" borderId="0" xfId="2" applyNumberFormat="1" applyFont="1" applyFill="1" applyAlignment="1" applyProtection="1">
      <alignment horizontal="center"/>
      <protection hidden="1"/>
    </xf>
    <xf numFmtId="168" fontId="38" fillId="13" borderId="0" xfId="2" applyNumberFormat="1" applyFont="1" applyFill="1" applyAlignment="1" applyProtection="1">
      <alignment horizontal="left"/>
      <protection hidden="1"/>
    </xf>
    <xf numFmtId="2" fontId="38" fillId="13" borderId="0" xfId="2" applyNumberFormat="1" applyFont="1" applyFill="1" applyAlignment="1" applyProtection="1">
      <alignment horizontal="center"/>
      <protection hidden="1"/>
    </xf>
    <xf numFmtId="0" fontId="46" fillId="13" borderId="0" xfId="0" applyFont="1" applyFill="1" applyAlignment="1" applyProtection="1">
      <alignment horizontal="left"/>
      <protection hidden="1"/>
    </xf>
    <xf numFmtId="2" fontId="36" fillId="13" borderId="0" xfId="0" applyNumberFormat="1" applyFont="1" applyFill="1" applyAlignment="1" applyProtection="1">
      <alignment horizontal="left"/>
      <protection hidden="1"/>
    </xf>
    <xf numFmtId="0" fontId="36" fillId="13" borderId="0" xfId="0" applyFont="1" applyFill="1" applyAlignment="1" applyProtection="1">
      <alignment horizontal="left"/>
      <protection hidden="1"/>
    </xf>
    <xf numFmtId="2" fontId="51" fillId="13" borderId="0" xfId="2" applyNumberFormat="1" applyFont="1" applyFill="1" applyAlignment="1" applyProtection="1">
      <alignment horizontal="center"/>
      <protection hidden="1"/>
    </xf>
    <xf numFmtId="2" fontId="31" fillId="13" borderId="0" xfId="2" applyNumberFormat="1" applyFont="1" applyFill="1" applyAlignment="1" applyProtection="1">
      <alignment horizontal="center"/>
      <protection hidden="1"/>
    </xf>
    <xf numFmtId="1" fontId="34" fillId="13" borderId="0" xfId="0" applyNumberFormat="1" applyFont="1" applyFill="1" applyAlignment="1" applyProtection="1">
      <alignment horizontal="center" wrapText="1"/>
      <protection hidden="1"/>
    </xf>
    <xf numFmtId="1" fontId="37" fillId="13" borderId="0" xfId="0" applyNumberFormat="1" applyFont="1" applyFill="1" applyAlignment="1" applyProtection="1">
      <alignment horizontal="center" wrapText="1"/>
      <protection hidden="1"/>
    </xf>
    <xf numFmtId="2" fontId="38" fillId="13" borderId="0" xfId="0" applyNumberFormat="1" applyFont="1" applyFill="1" applyAlignment="1" applyProtection="1">
      <alignment horizontal="center"/>
      <protection hidden="1"/>
    </xf>
    <xf numFmtId="168" fontId="61" fillId="13" borderId="0" xfId="2" applyNumberFormat="1" applyFont="1" applyFill="1" applyAlignment="1" applyProtection="1">
      <alignment horizontal="left" vertical="center"/>
      <protection hidden="1"/>
    </xf>
    <xf numFmtId="0" fontId="35" fillId="13" borderId="1" xfId="0" applyFont="1" applyFill="1" applyBorder="1" applyAlignment="1" applyProtection="1">
      <alignment horizontal="center" vertical="center" wrapText="1"/>
      <protection hidden="1"/>
    </xf>
    <xf numFmtId="2" fontId="38" fillId="13" borderId="1" xfId="2" applyNumberFormat="1" applyFont="1" applyFill="1" applyBorder="1" applyAlignment="1" applyProtection="1">
      <alignment horizontal="center"/>
      <protection hidden="1"/>
    </xf>
    <xf numFmtId="2" fontId="34" fillId="13" borderId="1" xfId="2" applyNumberFormat="1" applyFont="1" applyFill="1" applyBorder="1" applyAlignment="1" applyProtection="1">
      <alignment horizontal="center"/>
      <protection hidden="1"/>
    </xf>
    <xf numFmtId="1" fontId="34" fillId="13" borderId="1" xfId="2" applyNumberFormat="1" applyFont="1" applyFill="1" applyBorder="1" applyAlignment="1" applyProtection="1">
      <alignment horizontal="left"/>
      <protection hidden="1"/>
    </xf>
    <xf numFmtId="1" fontId="34" fillId="13" borderId="0" xfId="2" applyNumberFormat="1" applyFont="1" applyFill="1" applyAlignment="1" applyProtection="1">
      <alignment horizontal="left"/>
      <protection hidden="1"/>
    </xf>
    <xf numFmtId="2" fontId="31" fillId="13" borderId="1" xfId="2" applyNumberFormat="1" applyFont="1" applyFill="1" applyBorder="1" applyAlignment="1" applyProtection="1">
      <alignment horizontal="center"/>
      <protection hidden="1"/>
    </xf>
    <xf numFmtId="1" fontId="35" fillId="13" borderId="0" xfId="2" applyNumberFormat="1" applyFont="1" applyFill="1" applyAlignment="1" applyProtection="1">
      <alignment horizontal="center"/>
      <protection hidden="1"/>
    </xf>
    <xf numFmtId="1" fontId="31" fillId="13" borderId="0" xfId="2" applyNumberFormat="1" applyFont="1" applyFill="1" applyAlignment="1" applyProtection="1">
      <alignment horizontal="center"/>
      <protection hidden="1"/>
    </xf>
    <xf numFmtId="0" fontId="36" fillId="13" borderId="1" xfId="2" applyFont="1" applyFill="1" applyBorder="1" applyAlignment="1" applyProtection="1">
      <alignment horizontal="left"/>
      <protection hidden="1"/>
    </xf>
    <xf numFmtId="2" fontId="36" fillId="13" borderId="1" xfId="2" applyNumberFormat="1" applyFont="1" applyFill="1" applyBorder="1" applyAlignment="1" applyProtection="1">
      <alignment horizontal="center" shrinkToFit="1"/>
      <protection hidden="1"/>
    </xf>
    <xf numFmtId="0" fontId="35" fillId="13" borderId="0" xfId="2" applyFont="1" applyFill="1" applyAlignment="1" applyProtection="1">
      <alignment horizontal="left"/>
      <protection hidden="1"/>
    </xf>
    <xf numFmtId="0" fontId="36" fillId="13" borderId="0" xfId="2" applyFont="1" applyFill="1" applyAlignment="1" applyProtection="1">
      <alignment horizontal="left"/>
      <protection hidden="1"/>
    </xf>
    <xf numFmtId="0" fontId="36" fillId="13" borderId="0" xfId="2" applyFont="1" applyFill="1" applyAlignment="1" applyProtection="1">
      <alignment horizontal="center"/>
      <protection hidden="1"/>
    </xf>
    <xf numFmtId="0" fontId="36" fillId="13" borderId="10" xfId="2" applyFont="1" applyFill="1" applyBorder="1" applyAlignment="1" applyProtection="1">
      <alignment horizontal="left"/>
      <protection hidden="1"/>
    </xf>
    <xf numFmtId="0" fontId="36" fillId="13" borderId="12" xfId="2" applyFont="1" applyFill="1" applyBorder="1" applyAlignment="1" applyProtection="1">
      <alignment horizontal="left"/>
      <protection hidden="1"/>
    </xf>
    <xf numFmtId="0" fontId="65" fillId="13" borderId="0" xfId="2" applyFont="1" applyFill="1" applyAlignment="1" applyProtection="1">
      <alignment horizontal="left"/>
      <protection hidden="1"/>
    </xf>
    <xf numFmtId="0" fontId="36" fillId="13" borderId="6" xfId="2" applyFont="1" applyFill="1" applyBorder="1" applyAlignment="1" applyProtection="1">
      <alignment horizontal="left"/>
      <protection hidden="1"/>
    </xf>
    <xf numFmtId="0" fontId="36" fillId="13" borderId="14" xfId="2" applyFont="1" applyFill="1" applyBorder="1" applyAlignment="1" applyProtection="1">
      <alignment horizontal="left"/>
      <protection hidden="1"/>
    </xf>
    <xf numFmtId="2" fontId="36" fillId="13" borderId="0" xfId="2" applyNumberFormat="1" applyFont="1" applyFill="1" applyAlignment="1" applyProtection="1">
      <alignment horizontal="center"/>
      <protection hidden="1"/>
    </xf>
    <xf numFmtId="0" fontId="36" fillId="13" borderId="11" xfId="2" applyFont="1" applyFill="1" applyBorder="1" applyAlignment="1" applyProtection="1">
      <alignment horizontal="left"/>
      <protection hidden="1"/>
    </xf>
    <xf numFmtId="0" fontId="36" fillId="13" borderId="13" xfId="2" applyFont="1" applyFill="1" applyBorder="1" applyAlignment="1" applyProtection="1">
      <alignment horizontal="left"/>
      <protection hidden="1"/>
    </xf>
    <xf numFmtId="0" fontId="36" fillId="13" borderId="13" xfId="2" applyFont="1" applyFill="1" applyBorder="1" applyAlignment="1" applyProtection="1">
      <alignment horizontal="center"/>
      <protection hidden="1"/>
    </xf>
    <xf numFmtId="0" fontId="35" fillId="13" borderId="13" xfId="2" applyFont="1" applyFill="1" applyBorder="1" applyAlignment="1" applyProtection="1">
      <alignment horizontal="left"/>
      <protection hidden="1"/>
    </xf>
    <xf numFmtId="2" fontId="33" fillId="13" borderId="0" xfId="0" applyNumberFormat="1" applyFont="1" applyFill="1" applyAlignment="1" applyProtection="1">
      <alignment horizontal="left" wrapText="1"/>
      <protection hidden="1"/>
    </xf>
    <xf numFmtId="2" fontId="39" fillId="13" borderId="0" xfId="0" applyNumberFormat="1" applyFont="1" applyFill="1" applyAlignment="1" applyProtection="1">
      <alignment horizontal="left"/>
      <protection hidden="1"/>
    </xf>
    <xf numFmtId="2" fontId="4" fillId="13" borderId="0" xfId="0" applyNumberFormat="1" applyFont="1" applyFill="1" applyAlignment="1" applyProtection="1">
      <alignment horizontal="center" wrapText="1"/>
      <protection hidden="1"/>
    </xf>
    <xf numFmtId="2" fontId="8" fillId="13" borderId="0" xfId="0" applyNumberFormat="1" applyFont="1" applyFill="1" applyAlignment="1" applyProtection="1">
      <alignment horizontal="center"/>
      <protection hidden="1"/>
    </xf>
    <xf numFmtId="2" fontId="32" fillId="13" borderId="0" xfId="0" applyNumberFormat="1" applyFont="1" applyFill="1" applyAlignment="1" applyProtection="1">
      <alignment horizontal="center"/>
      <protection hidden="1"/>
    </xf>
    <xf numFmtId="2" fontId="33" fillId="13" borderId="0" xfId="0" applyNumberFormat="1" applyFont="1" applyFill="1" applyAlignment="1" applyProtection="1">
      <alignment horizontal="center"/>
      <protection hidden="1"/>
    </xf>
    <xf numFmtId="2" fontId="4" fillId="13" borderId="0" xfId="0" applyNumberFormat="1" applyFont="1" applyFill="1" applyAlignment="1" applyProtection="1">
      <alignment horizontal="center"/>
      <protection hidden="1"/>
    </xf>
    <xf numFmtId="2" fontId="26" fillId="5" borderId="12" xfId="0" applyNumberFormat="1" applyFont="1" applyFill="1" applyBorder="1" applyAlignment="1" applyProtection="1">
      <alignment horizontal="left" wrapText="1"/>
      <protection hidden="1"/>
    </xf>
    <xf numFmtId="2" fontId="8" fillId="3" borderId="12" xfId="0" applyNumberFormat="1" applyFont="1" applyFill="1" applyBorder="1" applyAlignment="1" applyProtection="1">
      <alignment horizontal="left" wrapText="1"/>
      <protection locked="0"/>
    </xf>
    <xf numFmtId="1" fontId="33" fillId="13" borderId="2" xfId="0" applyNumberFormat="1" applyFont="1" applyFill="1" applyBorder="1" applyAlignment="1" applyProtection="1">
      <alignment horizontal="center"/>
      <protection hidden="1"/>
    </xf>
    <xf numFmtId="1" fontId="26" fillId="13" borderId="3" xfId="0" applyNumberFormat="1" applyFont="1" applyFill="1" applyBorder="1" applyAlignment="1" applyProtection="1">
      <alignment horizontal="center" wrapText="1"/>
      <protection hidden="1"/>
    </xf>
    <xf numFmtId="1" fontId="26" fillId="13" borderId="3" xfId="0" applyNumberFormat="1" applyFont="1" applyFill="1" applyBorder="1" applyAlignment="1" applyProtection="1">
      <alignment horizontal="center"/>
      <protection hidden="1"/>
    </xf>
    <xf numFmtId="1" fontId="29" fillId="13" borderId="3" xfId="0" applyNumberFormat="1" applyFont="1" applyFill="1" applyBorder="1" applyAlignment="1" applyProtection="1">
      <alignment horizontal="center"/>
      <protection hidden="1"/>
    </xf>
    <xf numFmtId="1" fontId="8" fillId="13" borderId="3" xfId="0" applyNumberFormat="1" applyFont="1" applyFill="1" applyBorder="1" applyAlignment="1" applyProtection="1">
      <alignment horizontal="center"/>
      <protection hidden="1"/>
    </xf>
    <xf numFmtId="2" fontId="26" fillId="5" borderId="11" xfId="0" applyNumberFormat="1" applyFont="1" applyFill="1" applyBorder="1" applyAlignment="1" applyProtection="1">
      <alignment horizontal="center" wrapText="1"/>
      <protection hidden="1"/>
    </xf>
    <xf numFmtId="2" fontId="33" fillId="13" borderId="2" xfId="0" applyNumberFormat="1" applyFont="1" applyFill="1" applyBorder="1" applyAlignment="1" applyProtection="1">
      <alignment horizontal="center"/>
      <protection hidden="1"/>
    </xf>
    <xf numFmtId="2" fontId="26" fillId="13" borderId="3" xfId="0" applyNumberFormat="1" applyFont="1" applyFill="1" applyBorder="1" applyAlignment="1" applyProtection="1">
      <alignment horizontal="center" wrapText="1"/>
      <protection hidden="1"/>
    </xf>
    <xf numFmtId="2" fontId="26" fillId="13" borderId="3" xfId="0" applyNumberFormat="1" applyFont="1" applyFill="1" applyBorder="1" applyAlignment="1" applyProtection="1">
      <alignment horizontal="center"/>
      <protection hidden="1"/>
    </xf>
    <xf numFmtId="2" fontId="8" fillId="13" borderId="3" xfId="0" applyNumberFormat="1" applyFont="1" applyFill="1" applyBorder="1" applyAlignment="1" applyProtection="1">
      <alignment horizontal="center"/>
      <protection hidden="1"/>
    </xf>
    <xf numFmtId="2" fontId="32" fillId="13" borderId="3" xfId="0" applyNumberFormat="1" applyFont="1" applyFill="1" applyBorder="1" applyAlignment="1" applyProtection="1">
      <alignment horizontal="center"/>
      <protection hidden="1"/>
    </xf>
    <xf numFmtId="2" fontId="8" fillId="13" borderId="1" xfId="0" applyNumberFormat="1" applyFont="1" applyFill="1" applyBorder="1" applyAlignment="1" applyProtection="1">
      <alignment horizontal="center"/>
      <protection hidden="1"/>
    </xf>
    <xf numFmtId="2" fontId="8" fillId="13" borderId="11" xfId="0" applyNumberFormat="1" applyFont="1" applyFill="1" applyBorder="1" applyAlignment="1" applyProtection="1">
      <alignment horizontal="center"/>
      <protection hidden="1"/>
    </xf>
    <xf numFmtId="1" fontId="35" fillId="13" borderId="4" xfId="0" applyNumberFormat="1" applyFont="1" applyFill="1" applyBorder="1" applyProtection="1">
      <protection hidden="1"/>
    </xf>
    <xf numFmtId="2" fontId="36" fillId="13" borderId="0" xfId="0" applyNumberFormat="1" applyFont="1" applyFill="1" applyAlignment="1" applyProtection="1">
      <alignment horizontal="center"/>
      <protection hidden="1"/>
    </xf>
    <xf numFmtId="2" fontId="35" fillId="13" borderId="14" xfId="0" applyNumberFormat="1" applyFont="1" applyFill="1" applyBorder="1" applyAlignment="1" applyProtection="1">
      <alignment horizontal="left"/>
      <protection hidden="1"/>
    </xf>
    <xf numFmtId="2" fontId="36" fillId="13" borderId="0" xfId="0" applyNumberFormat="1" applyFont="1" applyFill="1" applyProtection="1">
      <protection hidden="1"/>
    </xf>
    <xf numFmtId="1" fontId="35" fillId="13" borderId="0" xfId="0" applyNumberFormat="1" applyFont="1" applyFill="1" applyProtection="1">
      <protection hidden="1"/>
    </xf>
    <xf numFmtId="1" fontId="4" fillId="13" borderId="0" xfId="0" applyNumberFormat="1" applyFont="1" applyFill="1" applyAlignment="1" applyProtection="1">
      <alignment vertical="top"/>
      <protection hidden="1"/>
    </xf>
    <xf numFmtId="2" fontId="8" fillId="13" borderId="0" xfId="0" applyNumberFormat="1" applyFont="1" applyFill="1" applyAlignment="1" applyProtection="1">
      <alignment vertical="top"/>
      <protection hidden="1"/>
    </xf>
    <xf numFmtId="10" fontId="8" fillId="13" borderId="0" xfId="0" applyNumberFormat="1" applyFont="1" applyFill="1" applyAlignment="1" applyProtection="1">
      <alignment vertical="top"/>
      <protection hidden="1"/>
    </xf>
    <xf numFmtId="10" fontId="8" fillId="13" borderId="0" xfId="0" applyNumberFormat="1" applyFont="1" applyFill="1" applyAlignment="1">
      <alignment vertical="top"/>
    </xf>
    <xf numFmtId="10" fontId="36" fillId="13" borderId="0" xfId="0" applyNumberFormat="1" applyFont="1" applyFill="1" applyProtection="1">
      <protection hidden="1"/>
    </xf>
    <xf numFmtId="2" fontId="36" fillId="13" borderId="0" xfId="0" applyNumberFormat="1" applyFont="1" applyFill="1"/>
    <xf numFmtId="2" fontId="35" fillId="13" borderId="0" xfId="0" applyNumberFormat="1" applyFont="1" applyFill="1" applyProtection="1">
      <protection hidden="1"/>
    </xf>
    <xf numFmtId="0" fontId="8" fillId="13" borderId="0" xfId="0" applyFont="1" applyFill="1" applyProtection="1">
      <protection hidden="1"/>
    </xf>
    <xf numFmtId="1" fontId="8" fillId="13" borderId="0" xfId="0" applyNumberFormat="1" applyFont="1" applyFill="1" applyProtection="1">
      <protection hidden="1"/>
    </xf>
    <xf numFmtId="2" fontId="64" fillId="13" borderId="0" xfId="0" applyNumberFormat="1" applyFont="1" applyFill="1" applyProtection="1">
      <protection hidden="1"/>
    </xf>
    <xf numFmtId="1" fontId="36" fillId="13" borderId="0" xfId="0" applyNumberFormat="1" applyFont="1" applyFill="1" applyProtection="1">
      <protection hidden="1"/>
    </xf>
    <xf numFmtId="2" fontId="8" fillId="13" borderId="0" xfId="0" applyNumberFormat="1" applyFont="1" applyFill="1" applyProtection="1">
      <protection hidden="1"/>
    </xf>
    <xf numFmtId="2" fontId="36" fillId="5" borderId="12" xfId="0" applyNumberFormat="1" applyFont="1" applyFill="1" applyBorder="1" applyAlignment="1" applyProtection="1">
      <alignment horizontal="center"/>
      <protection hidden="1"/>
    </xf>
    <xf numFmtId="2" fontId="45" fillId="13" borderId="0" xfId="0" applyNumberFormat="1" applyFont="1" applyFill="1" applyProtection="1">
      <protection hidden="1"/>
    </xf>
    <xf numFmtId="2" fontId="45" fillId="13" borderId="0" xfId="0" applyNumberFormat="1" applyFont="1" applyFill="1" applyAlignment="1" applyProtection="1">
      <alignment horizontal="left"/>
      <protection hidden="1"/>
    </xf>
    <xf numFmtId="2" fontId="35" fillId="13" borderId="0" xfId="0" applyNumberFormat="1" applyFont="1" applyFill="1" applyAlignment="1" applyProtection="1">
      <alignment vertical="top"/>
      <protection hidden="1"/>
    </xf>
    <xf numFmtId="2" fontId="36" fillId="13" borderId="0" xfId="0" applyNumberFormat="1" applyFont="1" applyFill="1" applyAlignment="1" applyProtection="1">
      <alignment wrapText="1"/>
      <protection hidden="1"/>
    </xf>
    <xf numFmtId="2" fontId="46" fillId="13" borderId="0" xfId="0" applyNumberFormat="1" applyFont="1" applyFill="1" applyProtection="1">
      <protection hidden="1"/>
    </xf>
    <xf numFmtId="2" fontId="35" fillId="13" borderId="0" xfId="0" applyNumberFormat="1" applyFont="1" applyFill="1" applyAlignment="1" applyProtection="1">
      <alignment wrapText="1"/>
      <protection hidden="1"/>
    </xf>
    <xf numFmtId="2" fontId="35" fillId="13" borderId="0" xfId="0" applyNumberFormat="1" applyFont="1" applyFill="1" applyAlignment="1" applyProtection="1">
      <alignment horizontal="center"/>
      <protection hidden="1"/>
    </xf>
    <xf numFmtId="2" fontId="45" fillId="13" borderId="0" xfId="0" applyNumberFormat="1" applyFont="1" applyFill="1" applyAlignment="1" applyProtection="1">
      <alignment vertical="top"/>
      <protection hidden="1"/>
    </xf>
    <xf numFmtId="0" fontId="46" fillId="13" borderId="1" xfId="0" applyFont="1" applyFill="1" applyBorder="1" applyProtection="1">
      <protection hidden="1"/>
    </xf>
    <xf numFmtId="0" fontId="36" fillId="13" borderId="0" xfId="0" applyFont="1" applyFill="1" applyAlignment="1" applyProtection="1">
      <alignment horizontal="center"/>
      <protection hidden="1"/>
    </xf>
    <xf numFmtId="0" fontId="36" fillId="13" borderId="0" xfId="0" applyFont="1" applyFill="1" applyProtection="1">
      <protection hidden="1"/>
    </xf>
    <xf numFmtId="0" fontId="35" fillId="13" borderId="11" xfId="0" applyFont="1" applyFill="1" applyBorder="1" applyProtection="1">
      <protection hidden="1"/>
    </xf>
    <xf numFmtId="0" fontId="35" fillId="13" borderId="0" xfId="0" applyFont="1" applyFill="1" applyProtection="1">
      <protection hidden="1"/>
    </xf>
    <xf numFmtId="0" fontId="36" fillId="13" borderId="0" xfId="0" applyFont="1" applyFill="1"/>
    <xf numFmtId="0" fontId="5" fillId="13" borderId="0" xfId="0" applyFont="1" applyFill="1" applyAlignment="1" applyProtection="1">
      <alignment horizontal="left"/>
      <protection hidden="1"/>
    </xf>
    <xf numFmtId="0" fontId="0" fillId="13" borderId="0" xfId="0" applyFill="1" applyAlignment="1" applyProtection="1">
      <alignment horizontal="left"/>
      <protection hidden="1"/>
    </xf>
    <xf numFmtId="2" fontId="0" fillId="13" borderId="0" xfId="0" applyNumberFormat="1" applyFill="1" applyAlignment="1" applyProtection="1">
      <alignment horizontal="center"/>
      <protection hidden="1"/>
    </xf>
    <xf numFmtId="0" fontId="4" fillId="13" borderId="0" xfId="0" applyFont="1" applyFill="1" applyAlignment="1" applyProtection="1">
      <alignment horizontal="left"/>
      <protection hidden="1"/>
    </xf>
    <xf numFmtId="0" fontId="4" fillId="13" borderId="0" xfId="0" applyFont="1" applyFill="1" applyAlignment="1" applyProtection="1">
      <alignment horizontal="left" wrapText="1"/>
      <protection hidden="1"/>
    </xf>
    <xf numFmtId="0" fontId="39" fillId="13" borderId="0" xfId="0" applyFont="1" applyFill="1" applyAlignment="1" applyProtection="1">
      <alignment horizontal="left"/>
      <protection hidden="1"/>
    </xf>
    <xf numFmtId="0" fontId="50" fillId="13" borderId="0" xfId="0" applyFont="1" applyFill="1" applyAlignment="1" applyProtection="1">
      <alignment horizontal="right"/>
      <protection hidden="1"/>
    </xf>
    <xf numFmtId="0" fontId="50" fillId="13" borderId="0" xfId="0" applyFont="1" applyFill="1" applyAlignment="1" applyProtection="1">
      <alignment horizontal="left"/>
      <protection hidden="1"/>
    </xf>
    <xf numFmtId="0" fontId="39" fillId="13" borderId="0" xfId="0" applyFont="1" applyFill="1" applyAlignment="1" applyProtection="1">
      <alignment horizontal="right"/>
      <protection hidden="1"/>
    </xf>
    <xf numFmtId="2" fontId="39" fillId="13" borderId="0" xfId="0" applyNumberFormat="1" applyFont="1" applyFill="1" applyAlignment="1" applyProtection="1">
      <alignment horizontal="center"/>
      <protection hidden="1"/>
    </xf>
    <xf numFmtId="0" fontId="4" fillId="13" borderId="1" xfId="0" applyFont="1" applyFill="1" applyBorder="1" applyAlignment="1" applyProtection="1">
      <alignment horizontal="left" wrapText="1"/>
      <protection hidden="1"/>
    </xf>
    <xf numFmtId="0" fontId="0" fillId="13" borderId="1" xfId="0" applyFill="1" applyBorder="1" applyAlignment="1" applyProtection="1">
      <alignment horizontal="left"/>
      <protection hidden="1"/>
    </xf>
    <xf numFmtId="2" fontId="0" fillId="13" borderId="1" xfId="0" applyNumberFormat="1" applyFill="1" applyBorder="1" applyAlignment="1" applyProtection="1">
      <alignment horizontal="center"/>
      <protection hidden="1"/>
    </xf>
    <xf numFmtId="2" fontId="4" fillId="13" borderId="1" xfId="0" applyNumberFormat="1" applyFont="1" applyFill="1" applyBorder="1" applyAlignment="1" applyProtection="1">
      <alignment horizontal="center"/>
      <protection hidden="1"/>
    </xf>
    <xf numFmtId="0" fontId="4" fillId="13" borderId="1" xfId="0" applyFont="1" applyFill="1" applyBorder="1" applyAlignment="1" applyProtection="1">
      <alignment horizontal="left"/>
      <protection hidden="1"/>
    </xf>
    <xf numFmtId="2" fontId="4" fillId="13" borderId="1" xfId="0" applyNumberFormat="1" applyFont="1" applyFill="1" applyBorder="1" applyAlignment="1" applyProtection="1">
      <alignment horizontal="left"/>
      <protection hidden="1"/>
    </xf>
    <xf numFmtId="10" fontId="0" fillId="13" borderId="1" xfId="0" applyNumberFormat="1" applyFill="1" applyBorder="1" applyAlignment="1" applyProtection="1">
      <alignment horizontal="center"/>
      <protection hidden="1"/>
    </xf>
    <xf numFmtId="9" fontId="0" fillId="13" borderId="1" xfId="0" applyNumberFormat="1" applyFill="1" applyBorder="1" applyAlignment="1" applyProtection="1">
      <alignment horizontal="center"/>
      <protection hidden="1"/>
    </xf>
    <xf numFmtId="2" fontId="1" fillId="13" borderId="0" xfId="0" applyNumberFormat="1" applyFont="1" applyFill="1" applyProtection="1">
      <protection hidden="1"/>
    </xf>
    <xf numFmtId="2" fontId="40" fillId="13" borderId="0" xfId="0" applyNumberFormat="1" applyFont="1" applyFill="1" applyAlignment="1" applyProtection="1">
      <alignment horizontal="left"/>
      <protection hidden="1"/>
    </xf>
    <xf numFmtId="2" fontId="41" fillId="13" borderId="0" xfId="0" applyNumberFormat="1" applyFont="1" applyFill="1" applyAlignment="1" applyProtection="1">
      <alignment horizontal="center"/>
      <protection hidden="1"/>
    </xf>
    <xf numFmtId="2" fontId="41" fillId="13" borderId="0" xfId="0" applyNumberFormat="1" applyFont="1" applyFill="1" applyProtection="1">
      <protection hidden="1"/>
    </xf>
    <xf numFmtId="2" fontId="44" fillId="13" borderId="1" xfId="0" applyNumberFormat="1" applyFont="1" applyFill="1" applyBorder="1" applyProtection="1">
      <protection hidden="1"/>
    </xf>
    <xf numFmtId="2" fontId="44" fillId="13" borderId="1" xfId="0" applyNumberFormat="1" applyFont="1" applyFill="1" applyBorder="1" applyAlignment="1" applyProtection="1">
      <alignment horizontal="center"/>
      <protection hidden="1"/>
    </xf>
    <xf numFmtId="2" fontId="44" fillId="13" borderId="0" xfId="0" applyNumberFormat="1" applyFont="1" applyFill="1" applyProtection="1">
      <protection hidden="1"/>
    </xf>
    <xf numFmtId="2" fontId="43" fillId="13" borderId="1" xfId="0" applyNumberFormat="1" applyFont="1" applyFill="1" applyBorder="1" applyProtection="1">
      <protection hidden="1"/>
    </xf>
    <xf numFmtId="2" fontId="43" fillId="13" borderId="1" xfId="0" applyNumberFormat="1" applyFont="1" applyFill="1" applyBorder="1" applyAlignment="1" applyProtection="1">
      <alignment horizontal="center"/>
      <protection hidden="1"/>
    </xf>
    <xf numFmtId="2" fontId="43" fillId="13" borderId="0" xfId="0" applyNumberFormat="1" applyFont="1" applyFill="1" applyProtection="1">
      <protection hidden="1"/>
    </xf>
    <xf numFmtId="1" fontId="43" fillId="13" borderId="0" xfId="0" applyNumberFormat="1" applyFont="1" applyFill="1" applyProtection="1">
      <protection hidden="1"/>
    </xf>
    <xf numFmtId="2" fontId="4" fillId="13" borderId="0" xfId="0" applyNumberFormat="1" applyFont="1" applyFill="1" applyProtection="1">
      <protection hidden="1"/>
    </xf>
    <xf numFmtId="2" fontId="35" fillId="13" borderId="1" xfId="2" applyNumberFormat="1" applyFont="1" applyFill="1" applyBorder="1" applyAlignment="1" applyProtection="1">
      <alignment horizontal="left"/>
      <protection hidden="1"/>
    </xf>
    <xf numFmtId="2" fontId="46" fillId="13" borderId="1" xfId="2" applyNumberFormat="1" applyFont="1" applyFill="1" applyBorder="1" applyAlignment="1" applyProtection="1">
      <alignment horizontal="left"/>
      <protection hidden="1"/>
    </xf>
    <xf numFmtId="2" fontId="36" fillId="13" borderId="0" xfId="2" applyNumberFormat="1" applyFont="1" applyFill="1" applyAlignment="1" applyProtection="1">
      <alignment horizontal="left"/>
      <protection hidden="1"/>
    </xf>
    <xf numFmtId="2" fontId="35" fillId="13" borderId="0" xfId="2" applyNumberFormat="1" applyFont="1" applyFill="1" applyAlignment="1" applyProtection="1">
      <alignment horizontal="center"/>
      <protection hidden="1"/>
    </xf>
    <xf numFmtId="0" fontId="63" fillId="13" borderId="2" xfId="0" applyFont="1" applyFill="1" applyBorder="1"/>
    <xf numFmtId="0" fontId="63" fillId="13" borderId="3" xfId="0" applyFont="1" applyFill="1" applyBorder="1"/>
    <xf numFmtId="0" fontId="62" fillId="13" borderId="3" xfId="0" applyFont="1" applyFill="1" applyBorder="1"/>
    <xf numFmtId="0" fontId="63" fillId="13" borderId="11" xfId="0" applyFont="1" applyFill="1" applyBorder="1" applyAlignment="1">
      <alignment horizontal="center"/>
    </xf>
    <xf numFmtId="0" fontId="63" fillId="13" borderId="13" xfId="0" applyFont="1" applyFill="1" applyBorder="1" applyAlignment="1">
      <alignment wrapText="1"/>
    </xf>
    <xf numFmtId="9" fontId="69" fillId="13" borderId="13" xfId="0" applyNumberFormat="1" applyFont="1" applyFill="1" applyBorder="1" applyAlignment="1">
      <alignment horizontal="center" wrapText="1"/>
    </xf>
    <xf numFmtId="2" fontId="63" fillId="13" borderId="13" xfId="0" applyNumberFormat="1" applyFont="1" applyFill="1" applyBorder="1" applyAlignment="1">
      <alignment horizontal="center"/>
    </xf>
    <xf numFmtId="2" fontId="38" fillId="14" borderId="1" xfId="2" applyNumberFormat="1" applyFont="1" applyFill="1" applyBorder="1" applyAlignment="1" applyProtection="1">
      <alignment horizontal="center"/>
      <protection hidden="1"/>
    </xf>
    <xf numFmtId="2" fontId="31" fillId="14" borderId="1" xfId="2" applyNumberFormat="1" applyFont="1" applyFill="1" applyBorder="1" applyAlignment="1" applyProtection="1">
      <alignment horizontal="center"/>
      <protection hidden="1"/>
    </xf>
    <xf numFmtId="2" fontId="38" fillId="11" borderId="1" xfId="2" applyNumberFormat="1" applyFont="1" applyFill="1" applyBorder="1" applyAlignment="1" applyProtection="1">
      <alignment horizontal="center"/>
      <protection hidden="1"/>
    </xf>
    <xf numFmtId="2" fontId="38" fillId="9" borderId="1" xfId="2" applyNumberFormat="1" applyFont="1" applyFill="1" applyBorder="1" applyAlignment="1" applyProtection="1">
      <alignment horizontal="center"/>
      <protection hidden="1"/>
    </xf>
    <xf numFmtId="2" fontId="31" fillId="9" borderId="1" xfId="2" applyNumberFormat="1" applyFont="1" applyFill="1" applyBorder="1" applyAlignment="1" applyProtection="1">
      <alignment horizontal="center"/>
      <protection hidden="1"/>
    </xf>
    <xf numFmtId="2" fontId="31" fillId="11" borderId="1" xfId="2" applyNumberFormat="1" applyFont="1" applyFill="1" applyBorder="1" applyAlignment="1" applyProtection="1">
      <alignment horizontal="center"/>
      <protection hidden="1"/>
    </xf>
    <xf numFmtId="2" fontId="34" fillId="9" borderId="1" xfId="2" applyNumberFormat="1" applyFont="1" applyFill="1" applyBorder="1" applyAlignment="1">
      <alignment horizontal="center"/>
    </xf>
    <xf numFmtId="2" fontId="52" fillId="9" borderId="1" xfId="2" applyNumberFormat="1" applyFont="1" applyFill="1" applyBorder="1" applyAlignment="1" applyProtection="1">
      <alignment horizontal="center" shrinkToFit="1"/>
      <protection hidden="1"/>
    </xf>
    <xf numFmtId="2" fontId="31" fillId="9" borderId="1" xfId="2" applyNumberFormat="1" applyFont="1" applyFill="1" applyBorder="1" applyAlignment="1">
      <alignment horizontal="center"/>
    </xf>
    <xf numFmtId="2" fontId="52" fillId="9" borderId="1" xfId="2" applyNumberFormat="1" applyFont="1" applyFill="1" applyBorder="1" applyAlignment="1" applyProtection="1">
      <alignment horizontal="center"/>
      <protection hidden="1"/>
    </xf>
    <xf numFmtId="0" fontId="4" fillId="13" borderId="0" xfId="0" applyFont="1" applyFill="1"/>
    <xf numFmtId="0" fontId="4" fillId="13" borderId="6" xfId="0" applyFont="1" applyFill="1" applyBorder="1"/>
    <xf numFmtId="0" fontId="4" fillId="13" borderId="10" xfId="0" applyFont="1" applyFill="1" applyBorder="1"/>
    <xf numFmtId="166" fontId="0" fillId="13" borderId="0" xfId="0" applyNumberFormat="1" applyFill="1"/>
    <xf numFmtId="166" fontId="3" fillId="13" borderId="0" xfId="0" applyNumberFormat="1" applyFont="1" applyFill="1"/>
    <xf numFmtId="166" fontId="5" fillId="13" borderId="0" xfId="0" applyNumberFormat="1" applyFont="1" applyFill="1"/>
    <xf numFmtId="166" fontId="8" fillId="13" borderId="0" xfId="0" applyNumberFormat="1" applyFont="1" applyFill="1"/>
    <xf numFmtId="166" fontId="8" fillId="13" borderId="0" xfId="0" quotePrefix="1" applyNumberFormat="1" applyFont="1" applyFill="1" applyAlignment="1">
      <alignment horizontal="left"/>
    </xf>
    <xf numFmtId="1" fontId="0" fillId="13" borderId="0" xfId="0" applyNumberFormat="1" applyFill="1" applyAlignment="1">
      <alignment horizontal="center"/>
    </xf>
    <xf numFmtId="1" fontId="4" fillId="13" borderId="0" xfId="0" applyNumberFormat="1" applyFont="1" applyFill="1" applyAlignment="1">
      <alignment horizontal="center"/>
    </xf>
    <xf numFmtId="166" fontId="0" fillId="13" borderId="0" xfId="0" applyNumberFormat="1" applyFill="1" applyAlignment="1">
      <alignment horizontal="center"/>
    </xf>
    <xf numFmtId="166" fontId="9" fillId="13" borderId="0" xfId="0" applyNumberFormat="1" applyFont="1" applyFill="1" applyAlignment="1">
      <alignment horizontal="center"/>
    </xf>
    <xf numFmtId="166" fontId="0" fillId="13" borderId="0" xfId="0" applyNumberFormat="1" applyFill="1" applyProtection="1">
      <protection locked="0"/>
    </xf>
    <xf numFmtId="166" fontId="8" fillId="13" borderId="0" xfId="0" quotePrefix="1" applyNumberFormat="1" applyFont="1" applyFill="1" applyAlignment="1">
      <alignment horizontal="center"/>
    </xf>
    <xf numFmtId="166" fontId="8" fillId="13" borderId="0" xfId="0" applyNumberFormat="1" applyFont="1" applyFill="1" applyAlignment="1">
      <alignment horizontal="left"/>
    </xf>
    <xf numFmtId="1" fontId="8" fillId="13" borderId="0" xfId="0" applyNumberFormat="1" applyFont="1" applyFill="1"/>
    <xf numFmtId="2" fontId="8" fillId="13" borderId="0" xfId="0" applyNumberFormat="1" applyFont="1" applyFill="1" applyAlignment="1">
      <alignment wrapText="1"/>
    </xf>
    <xf numFmtId="10" fontId="8" fillId="13" borderId="0" xfId="0" applyNumberFormat="1" applyFont="1" applyFill="1" applyAlignment="1">
      <alignment wrapText="1"/>
    </xf>
    <xf numFmtId="10" fontId="8" fillId="13" borderId="0" xfId="0" applyNumberFormat="1" applyFont="1" applyFill="1" applyAlignment="1">
      <alignment vertical="top" wrapText="1"/>
    </xf>
    <xf numFmtId="2" fontId="8" fillId="13" borderId="0" xfId="0" applyNumberFormat="1" applyFont="1" applyFill="1" applyAlignment="1">
      <alignment vertical="top" wrapText="1"/>
    </xf>
    <xf numFmtId="1" fontId="36" fillId="13" borderId="0" xfId="0" applyNumberFormat="1" applyFont="1" applyFill="1" applyAlignment="1">
      <alignment wrapText="1"/>
    </xf>
    <xf numFmtId="166" fontId="0" fillId="13" borderId="0" xfId="0" quotePrefix="1" applyNumberFormat="1" applyFill="1" applyAlignment="1">
      <alignment horizontal="left"/>
    </xf>
    <xf numFmtId="166" fontId="5" fillId="13" borderId="0" xfId="0" applyNumberFormat="1" applyFont="1" applyFill="1" applyAlignment="1">
      <alignment horizontal="left"/>
    </xf>
    <xf numFmtId="166" fontId="6" fillId="13" borderId="0" xfId="0" applyNumberFormat="1" applyFont="1" applyFill="1" applyAlignment="1">
      <alignment horizontal="left"/>
    </xf>
    <xf numFmtId="166" fontId="0" fillId="13" borderId="0" xfId="0" applyNumberFormat="1" applyFill="1" applyAlignment="1">
      <alignment horizontal="left"/>
    </xf>
    <xf numFmtId="166" fontId="6" fillId="13" borderId="0" xfId="0" applyNumberFormat="1" applyFont="1" applyFill="1"/>
    <xf numFmtId="166" fontId="12" fillId="13" borderId="0" xfId="0" applyNumberFormat="1" applyFont="1" applyFill="1"/>
    <xf numFmtId="166" fontId="11" fillId="13" borderId="0" xfId="0" applyNumberFormat="1" applyFont="1" applyFill="1" applyAlignment="1">
      <alignment horizontal="left"/>
    </xf>
    <xf numFmtId="166" fontId="11" fillId="13" borderId="0" xfId="0" applyNumberFormat="1" applyFont="1" applyFill="1"/>
    <xf numFmtId="166" fontId="11" fillId="13" borderId="0" xfId="0" quotePrefix="1" applyNumberFormat="1" applyFont="1" applyFill="1" applyAlignment="1">
      <alignment horizontal="left"/>
    </xf>
    <xf numFmtId="0" fontId="5" fillId="13" borderId="0" xfId="0" applyFont="1" applyFill="1"/>
    <xf numFmtId="0" fontId="0" fillId="13" borderId="0" xfId="0" applyFill="1"/>
    <xf numFmtId="0" fontId="11" fillId="13" borderId="0" xfId="0" applyFont="1" applyFill="1"/>
    <xf numFmtId="0" fontId="8" fillId="13" borderId="0" xfId="0" applyFont="1" applyFill="1"/>
    <xf numFmtId="0" fontId="11" fillId="13" borderId="0" xfId="0" applyFont="1" applyFill="1" applyAlignment="1">
      <alignment horizontal="left"/>
    </xf>
    <xf numFmtId="0" fontId="12" fillId="13" borderId="0" xfId="0" applyFont="1" applyFill="1"/>
    <xf numFmtId="0" fontId="6" fillId="13" borderId="0" xfId="0" applyFont="1" applyFill="1"/>
    <xf numFmtId="1" fontId="4" fillId="13" borderId="0" xfId="0" applyNumberFormat="1" applyFont="1" applyFill="1" applyAlignment="1">
      <alignment horizontal="center" vertical="center"/>
    </xf>
    <xf numFmtId="0" fontId="12" fillId="13" borderId="0" xfId="0" applyFont="1" applyFill="1" applyAlignment="1">
      <alignment wrapText="1"/>
    </xf>
    <xf numFmtId="0" fontId="15" fillId="13" borderId="0" xfId="0" applyFont="1" applyFill="1" applyAlignment="1">
      <alignment horizontal="center"/>
    </xf>
    <xf numFmtId="0" fontId="15" fillId="13" borderId="0" xfId="0" applyFont="1" applyFill="1"/>
    <xf numFmtId="0" fontId="16" fillId="13" borderId="0" xfId="0" applyFont="1" applyFill="1"/>
    <xf numFmtId="0" fontId="1" fillId="13" borderId="0" xfId="0" applyFont="1" applyFill="1"/>
    <xf numFmtId="0" fontId="1" fillId="13" borderId="0" xfId="0" applyFont="1" applyFill="1" applyAlignment="1">
      <alignment wrapText="1"/>
    </xf>
    <xf numFmtId="1" fontId="1" fillId="13" borderId="0" xfId="0" applyNumberFormat="1" applyFont="1" applyFill="1" applyAlignment="1">
      <alignment horizontal="center"/>
    </xf>
    <xf numFmtId="166" fontId="8" fillId="13" borderId="1" xfId="0" quotePrefix="1" applyNumberFormat="1" applyFont="1" applyFill="1" applyBorder="1" applyAlignment="1">
      <alignment horizontal="center"/>
    </xf>
    <xf numFmtId="166" fontId="54" fillId="5" borderId="11" xfId="0" applyNumberFormat="1" applyFont="1" applyFill="1" applyBorder="1"/>
    <xf numFmtId="166" fontId="0" fillId="5" borderId="13" xfId="0" applyNumberFormat="1" applyFill="1" applyBorder="1"/>
    <xf numFmtId="166" fontId="0" fillId="5" borderId="12" xfId="0" applyNumberFormat="1" applyFill="1" applyBorder="1"/>
    <xf numFmtId="166" fontId="8" fillId="5" borderId="11" xfId="0" applyNumberFormat="1" applyFont="1" applyFill="1" applyBorder="1" applyAlignment="1">
      <alignment horizontal="left"/>
    </xf>
    <xf numFmtId="166" fontId="8" fillId="5" borderId="13" xfId="0" quotePrefix="1" applyNumberFormat="1" applyFont="1" applyFill="1" applyBorder="1" applyAlignment="1">
      <alignment horizontal="center"/>
    </xf>
    <xf numFmtId="166" fontId="8" fillId="5" borderId="12" xfId="0" quotePrefix="1" applyNumberFormat="1" applyFont="1" applyFill="1" applyBorder="1" applyAlignment="1">
      <alignment horizontal="center"/>
    </xf>
    <xf numFmtId="166" fontId="8" fillId="3" borderId="4" xfId="0" quotePrefix="1" applyNumberFormat="1" applyFont="1" applyFill="1" applyBorder="1" applyAlignment="1" applyProtection="1">
      <alignment horizontal="center"/>
      <protection locked="0"/>
    </xf>
    <xf numFmtId="166" fontId="8" fillId="3" borderId="2" xfId="0" quotePrefix="1" applyNumberFormat="1" applyFont="1" applyFill="1" applyBorder="1" applyAlignment="1" applyProtection="1">
      <alignment horizontal="center"/>
      <protection locked="0"/>
    </xf>
    <xf numFmtId="166" fontId="8" fillId="5" borderId="15" xfId="0" quotePrefix="1" applyNumberFormat="1" applyFont="1" applyFill="1" applyBorder="1" applyAlignment="1">
      <alignment horizontal="center"/>
    </xf>
    <xf numFmtId="166" fontId="8" fillId="5" borderId="5" xfId="0" quotePrefix="1" applyNumberFormat="1" applyFont="1" applyFill="1" applyBorder="1" applyAlignment="1">
      <alignment horizontal="center"/>
    </xf>
    <xf numFmtId="166" fontId="4" fillId="5" borderId="14" xfId="0" applyNumberFormat="1" applyFont="1" applyFill="1" applyBorder="1" applyAlignment="1">
      <alignment horizontal="left"/>
    </xf>
    <xf numFmtId="1" fontId="0" fillId="5" borderId="9" xfId="0" applyNumberFormat="1" applyFill="1" applyBorder="1" applyAlignment="1">
      <alignment horizontal="center"/>
    </xf>
    <xf numFmtId="166" fontId="76" fillId="5" borderId="14" xfId="0" applyNumberFormat="1" applyFont="1" applyFill="1" applyBorder="1" applyAlignment="1">
      <alignment horizontal="left"/>
    </xf>
    <xf numFmtId="1" fontId="4" fillId="5" borderId="7" xfId="0" applyNumberFormat="1" applyFont="1" applyFill="1" applyBorder="1" applyAlignment="1">
      <alignment horizontal="center"/>
    </xf>
    <xf numFmtId="166" fontId="4" fillId="5" borderId="15" xfId="0" applyNumberFormat="1" applyFont="1" applyFill="1" applyBorder="1" applyAlignment="1">
      <alignment horizontal="left"/>
    </xf>
    <xf numFmtId="166" fontId="8" fillId="4" borderId="4" xfId="0" quotePrefix="1" applyNumberFormat="1" applyFont="1" applyFill="1" applyBorder="1" applyAlignment="1">
      <alignment horizontal="center"/>
    </xf>
    <xf numFmtId="1" fontId="76" fillId="5" borderId="9" xfId="0" applyNumberFormat="1" applyFont="1" applyFill="1" applyBorder="1" applyAlignment="1">
      <alignment horizontal="center"/>
    </xf>
    <xf numFmtId="0" fontId="1" fillId="3" borderId="2" xfId="0" applyFont="1" applyFill="1" applyBorder="1" applyAlignment="1" applyProtection="1">
      <alignment horizontal="center"/>
      <protection locked="0"/>
    </xf>
    <xf numFmtId="1" fontId="8" fillId="5" borderId="9" xfId="0" applyNumberFormat="1" applyFont="1" applyFill="1" applyBorder="1" applyAlignment="1">
      <alignment horizontal="center"/>
    </xf>
    <xf numFmtId="0" fontId="5" fillId="13" borderId="0" xfId="1" applyFont="1" applyFill="1"/>
    <xf numFmtId="0" fontId="4" fillId="13" borderId="0" xfId="1" applyFont="1" applyFill="1"/>
    <xf numFmtId="0" fontId="4" fillId="13" borderId="8" xfId="0" applyFont="1" applyFill="1" applyBorder="1"/>
    <xf numFmtId="0" fontId="4" fillId="13" borderId="0" xfId="0" applyFont="1" applyFill="1" applyAlignment="1">
      <alignment vertical="center"/>
    </xf>
    <xf numFmtId="0" fontId="4" fillId="9" borderId="7" xfId="1" applyFont="1" applyFill="1" applyBorder="1"/>
    <xf numFmtId="0" fontId="4" fillId="9" borderId="8" xfId="1" applyFont="1" applyFill="1" applyBorder="1"/>
    <xf numFmtId="0" fontId="4" fillId="9" borderId="0" xfId="0" applyFont="1" applyFill="1"/>
    <xf numFmtId="0" fontId="4" fillId="9" borderId="6" xfId="0" applyFont="1" applyFill="1" applyBorder="1"/>
    <xf numFmtId="0" fontId="39" fillId="9" borderId="8" xfId="1" applyFont="1" applyFill="1" applyBorder="1"/>
    <xf numFmtId="0" fontId="4" fillId="9" borderId="9" xfId="1" applyFont="1" applyFill="1" applyBorder="1"/>
    <xf numFmtId="0" fontId="4" fillId="13" borderId="6" xfId="0" applyFont="1" applyFill="1" applyBorder="1" applyAlignment="1">
      <alignment vertical="center"/>
    </xf>
    <xf numFmtId="0" fontId="4" fillId="5" borderId="4" xfId="0" applyFont="1" applyFill="1" applyBorder="1" applyProtection="1">
      <protection hidden="1"/>
    </xf>
    <xf numFmtId="0" fontId="35" fillId="5" borderId="0" xfId="0" applyFont="1" applyFill="1" applyProtection="1">
      <protection hidden="1"/>
    </xf>
    <xf numFmtId="2" fontId="35" fillId="5" borderId="0" xfId="0" applyNumberFormat="1" applyFont="1" applyFill="1" applyAlignment="1" applyProtection="1">
      <alignment horizontal="center"/>
      <protection hidden="1"/>
    </xf>
    <xf numFmtId="0" fontId="4" fillId="5" borderId="0" xfId="1" applyFont="1" applyFill="1"/>
    <xf numFmtId="0" fontId="4" fillId="5" borderId="0" xfId="0" applyFont="1" applyFill="1"/>
    <xf numFmtId="0" fontId="4" fillId="9" borderId="0" xfId="1" applyFont="1" applyFill="1"/>
    <xf numFmtId="0" fontId="4" fillId="5" borderId="6" xfId="0" applyFont="1" applyFill="1" applyBorder="1"/>
    <xf numFmtId="0" fontId="4" fillId="5" borderId="0" xfId="0" applyFont="1" applyFill="1" applyAlignment="1">
      <alignment vertical="center"/>
    </xf>
    <xf numFmtId="0" fontId="4" fillId="5" borderId="6" xfId="0" applyFont="1" applyFill="1" applyBorder="1" applyAlignment="1">
      <alignment vertical="center"/>
    </xf>
    <xf numFmtId="0" fontId="23" fillId="3" borderId="14" xfId="0" applyFont="1" applyFill="1" applyBorder="1"/>
    <xf numFmtId="0" fontId="32" fillId="3" borderId="14" xfId="0" applyFont="1" applyFill="1" applyBorder="1"/>
    <xf numFmtId="0" fontId="4" fillId="9" borderId="11" xfId="1" applyFont="1" applyFill="1" applyBorder="1"/>
    <xf numFmtId="0" fontId="4" fillId="9" borderId="13" xfId="0" applyFont="1" applyFill="1" applyBorder="1"/>
    <xf numFmtId="0" fontId="4" fillId="9" borderId="12" xfId="0" applyFont="1" applyFill="1" applyBorder="1"/>
    <xf numFmtId="168" fontId="35" fillId="13" borderId="1" xfId="2" applyNumberFormat="1" applyFont="1" applyFill="1" applyBorder="1" applyAlignment="1" applyProtection="1">
      <alignment horizontal="center" wrapText="1"/>
      <protection hidden="1"/>
    </xf>
    <xf numFmtId="0" fontId="36" fillId="13" borderId="4" xfId="0" applyFont="1" applyFill="1" applyBorder="1" applyAlignment="1" applyProtection="1">
      <alignment horizontal="center" vertical="center" textRotation="180" wrapText="1"/>
      <protection hidden="1"/>
    </xf>
    <xf numFmtId="0" fontId="8" fillId="13" borderId="4" xfId="0" applyFont="1" applyFill="1" applyBorder="1" applyAlignment="1" applyProtection="1">
      <alignment horizontal="center" vertical="center" textRotation="180" wrapText="1"/>
      <protection hidden="1"/>
    </xf>
    <xf numFmtId="168" fontId="35" fillId="11" borderId="1" xfId="2" applyNumberFormat="1" applyFont="1" applyFill="1" applyBorder="1" applyAlignment="1" applyProtection="1">
      <alignment horizontal="center" wrapText="1"/>
      <protection hidden="1"/>
    </xf>
    <xf numFmtId="168" fontId="35" fillId="11" borderId="1" xfId="2" applyNumberFormat="1" applyFont="1" applyFill="1" applyBorder="1" applyAlignment="1" applyProtection="1">
      <alignment horizontal="center" vertical="center" textRotation="180" wrapText="1"/>
      <protection hidden="1"/>
    </xf>
    <xf numFmtId="2" fontId="35" fillId="11" borderId="1" xfId="2" applyNumberFormat="1" applyFont="1" applyFill="1" applyBorder="1" applyAlignment="1" applyProtection="1">
      <alignment horizontal="center" wrapText="1"/>
      <protection hidden="1"/>
    </xf>
    <xf numFmtId="2" fontId="32" fillId="13" borderId="1" xfId="0" applyNumberFormat="1" applyFont="1" applyFill="1" applyBorder="1" applyAlignment="1" applyProtection="1">
      <alignment horizontal="center" wrapText="1"/>
      <protection hidden="1"/>
    </xf>
    <xf numFmtId="0" fontId="4" fillId="5" borderId="7" xfId="1" applyFont="1" applyFill="1" applyBorder="1"/>
    <xf numFmtId="0" fontId="4" fillId="5" borderId="8" xfId="1" applyFont="1" applyFill="1" applyBorder="1" applyAlignment="1">
      <alignment vertical="center"/>
    </xf>
    <xf numFmtId="1" fontId="34" fillId="5" borderId="1" xfId="0" applyNumberFormat="1" applyFont="1" applyFill="1" applyBorder="1" applyAlignment="1" applyProtection="1">
      <alignment horizontal="left" wrapText="1"/>
      <protection hidden="1"/>
    </xf>
    <xf numFmtId="0" fontId="8" fillId="5" borderId="1" xfId="2" applyFont="1" applyFill="1" applyBorder="1" applyAlignment="1" applyProtection="1">
      <alignment horizontal="left"/>
      <protection hidden="1"/>
    </xf>
    <xf numFmtId="2" fontId="35" fillId="13" borderId="13" xfId="0" applyNumberFormat="1" applyFont="1" applyFill="1" applyBorder="1" applyAlignment="1" applyProtection="1">
      <alignment horizontal="left"/>
      <protection hidden="1"/>
    </xf>
    <xf numFmtId="10" fontId="8" fillId="0" borderId="1" xfId="0" applyNumberFormat="1" applyFont="1" applyBorder="1" applyAlignment="1" applyProtection="1">
      <alignment vertical="center" wrapText="1"/>
      <protection hidden="1"/>
    </xf>
    <xf numFmtId="10" fontId="8" fillId="0" borderId="1" xfId="0" applyNumberFormat="1" applyFont="1" applyBorder="1" applyAlignment="1" applyProtection="1">
      <alignment horizontal="center" vertical="center"/>
      <protection hidden="1"/>
    </xf>
    <xf numFmtId="10" fontId="8" fillId="13" borderId="0" xfId="0" applyNumberFormat="1" applyFont="1" applyFill="1" applyAlignment="1" applyProtection="1">
      <alignment vertical="center"/>
      <protection hidden="1"/>
    </xf>
    <xf numFmtId="10" fontId="8" fillId="0" borderId="0" xfId="0" applyNumberFormat="1" applyFont="1" applyAlignment="1" applyProtection="1">
      <alignment vertical="center"/>
      <protection hidden="1"/>
    </xf>
    <xf numFmtId="10" fontId="8" fillId="0" borderId="1" xfId="0" applyNumberFormat="1" applyFont="1" applyBorder="1" applyAlignment="1" applyProtection="1">
      <alignment vertical="center"/>
      <protection hidden="1"/>
    </xf>
    <xf numFmtId="0" fontId="4" fillId="8" borderId="1" xfId="0" applyFont="1" applyFill="1" applyBorder="1" applyAlignment="1" applyProtection="1">
      <alignment horizontal="right"/>
      <protection hidden="1"/>
    </xf>
    <xf numFmtId="0" fontId="4" fillId="8" borderId="1" xfId="0" applyFont="1" applyFill="1" applyBorder="1" applyAlignment="1" applyProtection="1">
      <alignment horizontal="center"/>
      <protection hidden="1"/>
    </xf>
    <xf numFmtId="2" fontId="4" fillId="8" borderId="1" xfId="0" applyNumberFormat="1" applyFont="1" applyFill="1" applyBorder="1" applyAlignment="1" applyProtection="1">
      <alignment horizontal="center"/>
      <protection hidden="1"/>
    </xf>
    <xf numFmtId="0" fontId="4" fillId="8" borderId="1" xfId="0" applyFont="1" applyFill="1" applyBorder="1" applyProtection="1">
      <protection hidden="1"/>
    </xf>
    <xf numFmtId="0" fontId="63" fillId="0" borderId="11" xfId="0" applyFont="1" applyBorder="1" applyAlignment="1">
      <alignment horizontal="left" vertical="justify"/>
    </xf>
    <xf numFmtId="0" fontId="71" fillId="0" borderId="11" xfId="0" applyFont="1" applyBorder="1" applyAlignment="1">
      <alignment horizontal="left" vertical="justify"/>
    </xf>
    <xf numFmtId="2" fontId="69" fillId="0" borderId="13" xfId="0" applyNumberFormat="1" applyFont="1" applyBorder="1" applyAlignment="1">
      <alignment horizontal="center" wrapText="1"/>
    </xf>
    <xf numFmtId="2" fontId="63" fillId="0" borderId="13" xfId="0" applyNumberFormat="1" applyFont="1" applyBorder="1" applyAlignment="1">
      <alignment horizontal="center"/>
    </xf>
    <xf numFmtId="2" fontId="63" fillId="0" borderId="1" xfId="0" applyNumberFormat="1" applyFont="1" applyBorder="1" applyAlignment="1">
      <alignment wrapText="1"/>
    </xf>
    <xf numFmtId="2" fontId="63" fillId="13" borderId="3" xfId="0" applyNumberFormat="1" applyFont="1" applyFill="1" applyBorder="1"/>
    <xf numFmtId="2" fontId="63" fillId="0" borderId="0" xfId="0" applyNumberFormat="1" applyFont="1"/>
    <xf numFmtId="1" fontId="63" fillId="0" borderId="1" xfId="0" applyNumberFormat="1" applyFont="1" applyBorder="1" applyAlignment="1">
      <alignment horizontal="center"/>
    </xf>
    <xf numFmtId="2" fontId="35" fillId="0" borderId="1" xfId="0" applyNumberFormat="1" applyFont="1" applyBorder="1" applyAlignment="1">
      <alignment horizontal="center" wrapText="1"/>
    </xf>
    <xf numFmtId="166" fontId="4" fillId="13" borderId="0" xfId="0" applyNumberFormat="1" applyFont="1" applyFill="1" applyAlignment="1">
      <alignment horizontal="left"/>
    </xf>
    <xf numFmtId="1" fontId="34" fillId="13" borderId="0" xfId="2" applyNumberFormat="1" applyFont="1" applyFill="1" applyAlignment="1" applyProtection="1">
      <alignment horizontal="center" vertical="center"/>
      <protection hidden="1"/>
    </xf>
    <xf numFmtId="2" fontId="38" fillId="7" borderId="0" xfId="2" applyNumberFormat="1" applyFont="1" applyFill="1" applyAlignment="1" applyProtection="1">
      <alignment horizontal="left" vertical="center"/>
      <protection hidden="1"/>
    </xf>
    <xf numFmtId="2" fontId="38" fillId="0" borderId="0" xfId="2" applyNumberFormat="1" applyFont="1" applyAlignment="1" applyProtection="1">
      <alignment horizontal="left" vertical="center"/>
      <protection hidden="1"/>
    </xf>
    <xf numFmtId="1" fontId="32" fillId="13" borderId="0" xfId="0" applyNumberFormat="1" applyFont="1" applyFill="1" applyAlignment="1" applyProtection="1">
      <alignment horizontal="center"/>
      <protection hidden="1"/>
    </xf>
    <xf numFmtId="1" fontId="33" fillId="13" borderId="0" xfId="0" applyNumberFormat="1" applyFont="1" applyFill="1" applyAlignment="1" applyProtection="1">
      <alignment horizontal="center"/>
      <protection hidden="1"/>
    </xf>
    <xf numFmtId="1" fontId="4" fillId="13" borderId="0" xfId="0" applyNumberFormat="1" applyFont="1" applyFill="1" applyAlignment="1" applyProtection="1">
      <alignment horizontal="center"/>
      <protection hidden="1"/>
    </xf>
    <xf numFmtId="1" fontId="8" fillId="13" borderId="0" xfId="0" applyNumberFormat="1" applyFont="1" applyFill="1" applyAlignment="1" applyProtection="1">
      <alignment horizontal="center"/>
      <protection hidden="1"/>
    </xf>
    <xf numFmtId="2" fontId="32" fillId="13" borderId="0" xfId="0" applyNumberFormat="1" applyFont="1" applyFill="1" applyAlignment="1" applyProtection="1">
      <alignment horizontal="left"/>
      <protection hidden="1"/>
    </xf>
    <xf numFmtId="2" fontId="4" fillId="5" borderId="1" xfId="0" applyNumberFormat="1" applyFont="1" applyFill="1" applyBorder="1" applyAlignment="1" applyProtection="1">
      <alignment horizontal="left" wrapText="1"/>
      <protection hidden="1"/>
    </xf>
    <xf numFmtId="1" fontId="75" fillId="5" borderId="1" xfId="0" applyNumberFormat="1" applyFont="1" applyFill="1" applyBorder="1" applyAlignment="1" applyProtection="1">
      <alignment horizontal="left" wrapText="1"/>
      <protection hidden="1"/>
    </xf>
    <xf numFmtId="166" fontId="35" fillId="13" borderId="0" xfId="0" applyNumberFormat="1" applyFont="1" applyFill="1" applyAlignment="1" applyProtection="1">
      <alignment horizontal="left" vertical="center"/>
      <protection hidden="1"/>
    </xf>
    <xf numFmtId="0" fontId="63" fillId="4" borderId="11" xfId="0" applyFont="1" applyFill="1" applyBorder="1" applyAlignment="1">
      <alignment horizontal="left" vertical="justify"/>
    </xf>
    <xf numFmtId="0" fontId="71" fillId="4" borderId="11" xfId="0" applyFont="1" applyFill="1" applyBorder="1" applyAlignment="1">
      <alignment horizontal="left" vertical="justify"/>
    </xf>
    <xf numFmtId="2" fontId="69" fillId="4" borderId="13" xfId="0" applyNumberFormat="1" applyFont="1" applyFill="1" applyBorder="1" applyAlignment="1">
      <alignment horizontal="center" wrapText="1"/>
    </xf>
    <xf numFmtId="2" fontId="63" fillId="4" borderId="12" xfId="0" applyNumberFormat="1" applyFont="1" applyFill="1" applyBorder="1" applyAlignment="1">
      <alignment horizontal="center"/>
    </xf>
    <xf numFmtId="0" fontId="4" fillId="4" borderId="1" xfId="0" applyFont="1" applyFill="1" applyBorder="1" applyProtection="1">
      <protection hidden="1"/>
    </xf>
    <xf numFmtId="2" fontId="4" fillId="4" borderId="1" xfId="0" applyNumberFormat="1" applyFont="1" applyFill="1" applyBorder="1" applyAlignment="1" applyProtection="1">
      <alignment horizontal="center"/>
      <protection hidden="1"/>
    </xf>
    <xf numFmtId="0" fontId="63" fillId="13" borderId="6" xfId="0" applyFont="1" applyFill="1" applyBorder="1"/>
    <xf numFmtId="0" fontId="63" fillId="13" borderId="10" xfId="0" applyFont="1" applyFill="1" applyBorder="1"/>
    <xf numFmtId="0" fontId="62" fillId="13" borderId="6" xfId="0" applyFont="1" applyFill="1" applyBorder="1"/>
    <xf numFmtId="0" fontId="5" fillId="13" borderId="6" xfId="0" applyFont="1" applyFill="1" applyBorder="1" applyProtection="1">
      <protection hidden="1"/>
    </xf>
    <xf numFmtId="0" fontId="4" fillId="13" borderId="6" xfId="0" applyFont="1" applyFill="1" applyBorder="1" applyProtection="1">
      <protection hidden="1"/>
    </xf>
    <xf numFmtId="0" fontId="0" fillId="13" borderId="6" xfId="0" applyFill="1" applyBorder="1" applyProtection="1">
      <protection hidden="1"/>
    </xf>
    <xf numFmtId="0" fontId="8" fillId="13" borderId="6" xfId="0" applyFont="1" applyFill="1" applyBorder="1" applyProtection="1">
      <protection hidden="1"/>
    </xf>
    <xf numFmtId="0" fontId="0" fillId="13" borderId="14" xfId="0" applyFill="1" applyBorder="1" applyProtection="1">
      <protection hidden="1"/>
    </xf>
    <xf numFmtId="2" fontId="0" fillId="13" borderId="14" xfId="0" applyNumberFormat="1" applyFill="1" applyBorder="1" applyAlignment="1" applyProtection="1">
      <alignment horizontal="center"/>
      <protection hidden="1"/>
    </xf>
    <xf numFmtId="0" fontId="0" fillId="13" borderId="10" xfId="0" applyFill="1" applyBorder="1" applyProtection="1">
      <protection hidden="1"/>
    </xf>
    <xf numFmtId="0" fontId="5" fillId="13" borderId="3" xfId="0" applyFont="1" applyFill="1" applyBorder="1" applyProtection="1">
      <protection hidden="1"/>
    </xf>
    <xf numFmtId="0" fontId="4" fillId="13" borderId="3" xfId="0" applyFont="1" applyFill="1" applyBorder="1" applyProtection="1">
      <protection hidden="1"/>
    </xf>
    <xf numFmtId="2" fontId="0" fillId="5" borderId="0" xfId="0" applyNumberFormat="1" applyFill="1" applyAlignment="1">
      <alignment horizontal="center"/>
    </xf>
    <xf numFmtId="1" fontId="0" fillId="5" borderId="0" xfId="0" applyNumberFormat="1" applyFill="1" applyAlignment="1">
      <alignment horizontal="center"/>
    </xf>
    <xf numFmtId="0" fontId="0" fillId="5" borderId="0" xfId="0" applyFill="1" applyAlignment="1">
      <alignment horizontal="center"/>
    </xf>
    <xf numFmtId="0" fontId="0" fillId="13" borderId="3" xfId="0" applyFill="1" applyBorder="1"/>
    <xf numFmtId="2" fontId="4" fillId="8" borderId="1" xfId="0" applyNumberFormat="1" applyFont="1" applyFill="1" applyBorder="1" applyAlignment="1">
      <alignment horizontal="center"/>
    </xf>
    <xf numFmtId="0" fontId="0" fillId="13" borderId="6" xfId="0" applyFill="1" applyBorder="1"/>
    <xf numFmtId="2" fontId="4" fillId="8" borderId="1" xfId="0" applyNumberFormat="1" applyFont="1" applyFill="1" applyBorder="1" applyAlignment="1">
      <alignment horizontal="center" wrapText="1"/>
    </xf>
    <xf numFmtId="1" fontId="4" fillId="8" borderId="1" xfId="0" applyNumberFormat="1" applyFont="1" applyFill="1" applyBorder="1" applyAlignment="1">
      <alignment horizontal="center" wrapText="1"/>
    </xf>
    <xf numFmtId="0" fontId="4" fillId="8" borderId="1" xfId="0" applyFont="1" applyFill="1" applyBorder="1" applyAlignment="1">
      <alignment horizontal="center" wrapText="1"/>
    </xf>
    <xf numFmtId="0" fontId="4" fillId="13" borderId="6" xfId="0" applyFont="1" applyFill="1" applyBorder="1" applyAlignment="1">
      <alignment wrapText="1"/>
    </xf>
    <xf numFmtId="0" fontId="4" fillId="0" borderId="0" xfId="0" applyFont="1" applyAlignment="1">
      <alignment wrapText="1"/>
    </xf>
    <xf numFmtId="2" fontId="0" fillId="0" borderId="1" xfId="0" applyNumberFormat="1" applyBorder="1" applyAlignment="1">
      <alignment horizontal="center"/>
    </xf>
    <xf numFmtId="1" fontId="0" fillId="0" borderId="1" xfId="0" applyNumberFormat="1" applyBorder="1" applyAlignment="1">
      <alignment horizontal="center"/>
    </xf>
    <xf numFmtId="0" fontId="4" fillId="8" borderId="1" xfId="0" applyFont="1" applyFill="1" applyBorder="1"/>
    <xf numFmtId="1" fontId="0" fillId="8" borderId="1" xfId="0" applyNumberFormat="1" applyFill="1" applyBorder="1" applyAlignment="1">
      <alignment horizontal="center"/>
    </xf>
    <xf numFmtId="0" fontId="4" fillId="0" borderId="0" xfId="0" applyFont="1"/>
    <xf numFmtId="0" fontId="4" fillId="13" borderId="6" xfId="0" applyFont="1" applyFill="1" applyBorder="1" applyAlignment="1">
      <alignment horizontal="center"/>
    </xf>
    <xf numFmtId="0" fontId="26" fillId="8" borderId="1" xfId="0" applyFont="1" applyFill="1" applyBorder="1"/>
    <xf numFmtId="0" fontId="0" fillId="13" borderId="14" xfId="0" applyFill="1" applyBorder="1"/>
    <xf numFmtId="2" fontId="0" fillId="13" borderId="14" xfId="0" applyNumberFormat="1" applyFill="1" applyBorder="1" applyAlignment="1">
      <alignment horizontal="center"/>
    </xf>
    <xf numFmtId="1" fontId="0" fillId="13" borderId="14" xfId="0" applyNumberFormat="1" applyFill="1" applyBorder="1" applyAlignment="1">
      <alignment horizontal="center"/>
    </xf>
    <xf numFmtId="0" fontId="0" fillId="13" borderId="14" xfId="0" applyFill="1" applyBorder="1" applyAlignment="1">
      <alignment horizontal="center"/>
    </xf>
    <xf numFmtId="0" fontId="0" fillId="13" borderId="10" xfId="0" applyFill="1" applyBorder="1"/>
    <xf numFmtId="2" fontId="0" fillId="0" borderId="0" xfId="0" applyNumberFormat="1" applyAlignment="1">
      <alignment horizontal="center"/>
    </xf>
    <xf numFmtId="1" fontId="0" fillId="0" borderId="0" xfId="0" applyNumberFormat="1" applyAlignment="1">
      <alignment horizontal="center"/>
    </xf>
    <xf numFmtId="0" fontId="0" fillId="0" borderId="0" xfId="0" applyAlignment="1">
      <alignment horizontal="center"/>
    </xf>
    <xf numFmtId="0" fontId="4" fillId="13" borderId="14" xfId="0" applyFont="1" applyFill="1" applyBorder="1" applyAlignment="1" applyProtection="1">
      <alignment horizontal="right"/>
      <protection hidden="1"/>
    </xf>
    <xf numFmtId="0" fontId="67" fillId="13" borderId="14" xfId="0" applyFont="1" applyFill="1" applyBorder="1" applyAlignment="1" applyProtection="1">
      <alignment horizontal="left"/>
      <protection hidden="1"/>
    </xf>
    <xf numFmtId="0" fontId="0" fillId="13" borderId="14" xfId="0" applyFill="1" applyBorder="1" applyAlignment="1" applyProtection="1">
      <alignment horizontal="left"/>
      <protection hidden="1"/>
    </xf>
    <xf numFmtId="0" fontId="0" fillId="13" borderId="6" xfId="0" applyFill="1" applyBorder="1" applyAlignment="1" applyProtection="1">
      <alignment horizontal="left"/>
      <protection hidden="1"/>
    </xf>
    <xf numFmtId="0" fontId="4" fillId="13" borderId="6" xfId="0" applyFont="1" applyFill="1" applyBorder="1" applyAlignment="1" applyProtection="1">
      <alignment horizontal="left" wrapText="1"/>
      <protection hidden="1"/>
    </xf>
    <xf numFmtId="0" fontId="39" fillId="13" borderId="6" xfId="0" applyFont="1" applyFill="1" applyBorder="1" applyAlignment="1" applyProtection="1">
      <alignment horizontal="left"/>
      <protection hidden="1"/>
    </xf>
    <xf numFmtId="0" fontId="4" fillId="13" borderId="6" xfId="0" applyFont="1" applyFill="1" applyBorder="1" applyAlignment="1" applyProtection="1">
      <alignment horizontal="left"/>
      <protection hidden="1"/>
    </xf>
    <xf numFmtId="0" fontId="0" fillId="13" borderId="10" xfId="0" applyFill="1" applyBorder="1" applyAlignment="1" applyProtection="1">
      <alignment horizontal="left"/>
      <protection hidden="1"/>
    </xf>
    <xf numFmtId="0" fontId="8" fillId="6" borderId="3" xfId="0" applyFont="1" applyFill="1" applyBorder="1" applyProtection="1">
      <protection hidden="1"/>
    </xf>
    <xf numFmtId="2" fontId="8" fillId="6" borderId="3" xfId="0" applyNumberFormat="1" applyFont="1" applyFill="1" applyBorder="1" applyAlignment="1" applyProtection="1">
      <alignment horizontal="center"/>
      <protection hidden="1"/>
    </xf>
    <xf numFmtId="2" fontId="35" fillId="5" borderId="1" xfId="0" applyNumberFormat="1" applyFont="1" applyFill="1" applyBorder="1" applyAlignment="1" applyProtection="1">
      <alignment horizontal="center" wrapText="1"/>
      <protection hidden="1"/>
    </xf>
    <xf numFmtId="2" fontId="35" fillId="5" borderId="1" xfId="0" applyNumberFormat="1" applyFont="1" applyFill="1" applyBorder="1" applyAlignment="1">
      <alignment horizontal="center" wrapText="1"/>
    </xf>
    <xf numFmtId="2" fontId="35" fillId="5" borderId="1" xfId="0" applyNumberFormat="1" applyFont="1" applyFill="1" applyBorder="1" applyAlignment="1">
      <alignment horizontal="center"/>
    </xf>
    <xf numFmtId="0" fontId="4" fillId="5" borderId="0" xfId="0" applyFont="1" applyFill="1" applyProtection="1">
      <protection hidden="1"/>
    </xf>
    <xf numFmtId="2" fontId="36" fillId="9" borderId="1" xfId="0" applyNumberFormat="1" applyFont="1" applyFill="1" applyBorder="1" applyAlignment="1">
      <alignment horizontal="center" wrapText="1"/>
    </xf>
    <xf numFmtId="2" fontId="35" fillId="9" borderId="1" xfId="0" applyNumberFormat="1" applyFont="1" applyFill="1" applyBorder="1" applyAlignment="1">
      <alignment horizontal="center" wrapText="1"/>
    </xf>
    <xf numFmtId="10" fontId="36" fillId="9" borderId="1" xfId="0" applyNumberFormat="1" applyFont="1" applyFill="1" applyBorder="1" applyAlignment="1">
      <alignment horizontal="center" wrapText="1"/>
    </xf>
    <xf numFmtId="2" fontId="36" fillId="13" borderId="9" xfId="0" applyNumberFormat="1" applyFont="1" applyFill="1" applyBorder="1" applyAlignment="1" applyProtection="1">
      <alignment horizontal="center"/>
      <protection hidden="1"/>
    </xf>
    <xf numFmtId="2" fontId="35" fillId="13" borderId="11" xfId="0" applyNumberFormat="1" applyFont="1" applyFill="1" applyBorder="1" applyAlignment="1" applyProtection="1">
      <alignment horizontal="center"/>
      <protection hidden="1"/>
    </xf>
    <xf numFmtId="2" fontId="52" fillId="13" borderId="4" xfId="0" applyNumberFormat="1" applyFont="1" applyFill="1" applyBorder="1" applyAlignment="1" applyProtection="1">
      <alignment horizontal="center" vertical="center" shrinkToFit="1"/>
      <protection hidden="1"/>
    </xf>
    <xf numFmtId="2" fontId="52" fillId="13" borderId="1" xfId="0" applyNumberFormat="1" applyFont="1" applyFill="1" applyBorder="1" applyAlignment="1" applyProtection="1">
      <alignment horizontal="center" vertical="center" shrinkToFit="1"/>
      <protection hidden="1"/>
    </xf>
    <xf numFmtId="2" fontId="52" fillId="13" borderId="4" xfId="0" applyNumberFormat="1" applyFont="1" applyFill="1" applyBorder="1" applyAlignment="1" applyProtection="1">
      <alignment horizontal="center" shrinkToFit="1"/>
      <protection hidden="1"/>
    </xf>
    <xf numFmtId="0" fontId="4" fillId="5" borderId="1" xfId="0" applyFont="1" applyFill="1" applyBorder="1"/>
    <xf numFmtId="10" fontId="36" fillId="11" borderId="1" xfId="0" applyNumberFormat="1" applyFont="1" applyFill="1" applyBorder="1" applyAlignment="1" applyProtection="1">
      <alignment horizontal="center"/>
      <protection hidden="1"/>
    </xf>
    <xf numFmtId="2" fontId="36" fillId="5" borderId="0" xfId="0" applyNumberFormat="1" applyFont="1" applyFill="1" applyAlignment="1" applyProtection="1">
      <alignment horizontal="center"/>
      <protection hidden="1"/>
    </xf>
    <xf numFmtId="2" fontId="36" fillId="13" borderId="6" xfId="0" applyNumberFormat="1" applyFont="1" applyFill="1" applyBorder="1" applyProtection="1">
      <protection hidden="1"/>
    </xf>
    <xf numFmtId="1" fontId="35" fillId="13" borderId="6" xfId="0" applyNumberFormat="1" applyFont="1" applyFill="1" applyBorder="1" applyProtection="1">
      <protection hidden="1"/>
    </xf>
    <xf numFmtId="10" fontId="36" fillId="13" borderId="6" xfId="0" applyNumberFormat="1" applyFont="1" applyFill="1" applyBorder="1" applyProtection="1">
      <protection hidden="1"/>
    </xf>
    <xf numFmtId="2" fontId="0" fillId="0" borderId="0" xfId="0" applyNumberFormat="1"/>
    <xf numFmtId="2" fontId="8" fillId="0" borderId="1" xfId="0" applyNumberFormat="1" applyFont="1" applyBorder="1"/>
    <xf numFmtId="2" fontId="0" fillId="13" borderId="6" xfId="0" applyNumberFormat="1" applyFill="1" applyBorder="1"/>
    <xf numFmtId="10" fontId="8" fillId="0" borderId="1" xfId="0" applyNumberFormat="1" applyFont="1" applyBorder="1"/>
    <xf numFmtId="10" fontId="4" fillId="0" borderId="1" xfId="0" applyNumberFormat="1" applyFont="1" applyBorder="1" applyAlignment="1">
      <alignment horizontal="center"/>
    </xf>
    <xf numFmtId="10" fontId="0" fillId="13" borderId="0" xfId="0" applyNumberFormat="1" applyFill="1"/>
    <xf numFmtId="10" fontId="0" fillId="13" borderId="6" xfId="0" applyNumberFormat="1" applyFill="1" applyBorder="1"/>
    <xf numFmtId="10" fontId="0" fillId="0" borderId="0" xfId="0" applyNumberFormat="1"/>
    <xf numFmtId="2" fontId="4" fillId="5" borderId="1" xfId="0" applyNumberFormat="1" applyFont="1" applyFill="1" applyBorder="1" applyAlignment="1">
      <alignment wrapText="1"/>
    </xf>
    <xf numFmtId="2" fontId="4" fillId="0" borderId="0" xfId="0" applyNumberFormat="1" applyFont="1"/>
    <xf numFmtId="2" fontId="4" fillId="13" borderId="0" xfId="0" applyNumberFormat="1" applyFont="1" applyFill="1"/>
    <xf numFmtId="2" fontId="4" fillId="13" borderId="6" xfId="0" applyNumberFormat="1" applyFont="1" applyFill="1" applyBorder="1"/>
    <xf numFmtId="2" fontId="4" fillId="5" borderId="1" xfId="0" applyNumberFormat="1" applyFont="1" applyFill="1" applyBorder="1" applyAlignment="1">
      <alignment horizontal="center"/>
    </xf>
    <xf numFmtId="2" fontId="0" fillId="13" borderId="0" xfId="0" applyNumberFormat="1" applyFill="1"/>
    <xf numFmtId="0" fontId="4" fillId="13" borderId="14" xfId="0" applyFont="1" applyFill="1" applyBorder="1"/>
    <xf numFmtId="2" fontId="4" fillId="13" borderId="8" xfId="0" applyNumberFormat="1" applyFont="1" applyFill="1" applyBorder="1"/>
    <xf numFmtId="0" fontId="45" fillId="13" borderId="14" xfId="0" applyFont="1" applyFill="1" applyBorder="1" applyAlignment="1">
      <alignment vertical="top"/>
    </xf>
    <xf numFmtId="2" fontId="35" fillId="11" borderId="1" xfId="0" applyNumberFormat="1" applyFont="1" applyFill="1" applyBorder="1" applyAlignment="1" applyProtection="1">
      <alignment horizontal="center"/>
      <protection hidden="1"/>
    </xf>
    <xf numFmtId="0" fontId="45" fillId="13" borderId="0" xfId="0" applyFont="1" applyFill="1" applyAlignment="1">
      <alignment vertical="top"/>
    </xf>
    <xf numFmtId="1" fontId="35" fillId="11" borderId="1" xfId="0" applyNumberFormat="1" applyFont="1" applyFill="1" applyBorder="1" applyAlignment="1" applyProtection="1">
      <alignment horizontal="center"/>
      <protection hidden="1"/>
    </xf>
    <xf numFmtId="1" fontId="36" fillId="11" borderId="1" xfId="0" applyNumberFormat="1" applyFont="1" applyFill="1" applyBorder="1" applyAlignment="1" applyProtection="1">
      <alignment horizontal="center"/>
      <protection hidden="1"/>
    </xf>
    <xf numFmtId="1" fontId="4" fillId="13" borderId="0" xfId="0" applyNumberFormat="1" applyFont="1" applyFill="1"/>
    <xf numFmtId="1" fontId="4" fillId="13" borderId="6" xfId="0" applyNumberFormat="1" applyFont="1" applyFill="1" applyBorder="1"/>
    <xf numFmtId="1" fontId="4" fillId="0" borderId="0" xfId="0" applyNumberFormat="1" applyFont="1"/>
    <xf numFmtId="1" fontId="0" fillId="13" borderId="0" xfId="0" applyNumberFormat="1" applyFill="1"/>
    <xf numFmtId="1" fontId="0" fillId="13" borderId="6" xfId="0" applyNumberFormat="1" applyFill="1" applyBorder="1"/>
    <xf numFmtId="1" fontId="0" fillId="0" borderId="0" xfId="0" applyNumberFormat="1"/>
    <xf numFmtId="1" fontId="35" fillId="5" borderId="0" xfId="0" applyNumberFormat="1" applyFont="1" applyFill="1" applyAlignment="1" applyProtection="1">
      <alignment horizontal="right"/>
      <protection hidden="1"/>
    </xf>
    <xf numFmtId="2" fontId="4" fillId="0" borderId="0" xfId="0" applyNumberFormat="1" applyFont="1" applyAlignment="1">
      <alignment horizontal="center"/>
    </xf>
    <xf numFmtId="2" fontId="8" fillId="0" borderId="0" xfId="0" applyNumberFormat="1" applyFont="1" applyAlignment="1">
      <alignment horizontal="center"/>
    </xf>
    <xf numFmtId="0" fontId="4" fillId="5" borderId="8" xfId="1" applyFont="1" applyFill="1" applyBorder="1"/>
    <xf numFmtId="1" fontId="4" fillId="5" borderId="1" xfId="0" applyNumberFormat="1" applyFont="1" applyFill="1" applyBorder="1" applyAlignment="1">
      <alignment horizontal="right" wrapText="1"/>
    </xf>
    <xf numFmtId="1" fontId="4" fillId="5" borderId="11" xfId="0" applyNumberFormat="1" applyFont="1" applyFill="1" applyBorder="1" applyAlignment="1">
      <alignment horizontal="center"/>
    </xf>
    <xf numFmtId="166" fontId="4" fillId="5" borderId="12" xfId="0" applyNumberFormat="1" applyFont="1" applyFill="1" applyBorder="1" applyAlignment="1">
      <alignment horizontal="left"/>
    </xf>
    <xf numFmtId="0" fontId="23" fillId="3" borderId="0" xfId="0" applyFont="1" applyFill="1"/>
    <xf numFmtId="0" fontId="32" fillId="3" borderId="0" xfId="0" applyFont="1" applyFill="1"/>
    <xf numFmtId="0" fontId="4" fillId="3" borderId="8" xfId="1" applyFont="1" applyFill="1" applyBorder="1"/>
    <xf numFmtId="0" fontId="4" fillId="3" borderId="9" xfId="1" applyFont="1" applyFill="1" applyBorder="1"/>
    <xf numFmtId="1" fontId="8" fillId="6" borderId="7" xfId="0" applyNumberFormat="1" applyFont="1" applyFill="1" applyBorder="1" applyAlignment="1" applyProtection="1">
      <alignment vertical="top" wrapText="1"/>
      <protection hidden="1"/>
    </xf>
    <xf numFmtId="1" fontId="8" fillId="6" borderId="2" xfId="0" applyNumberFormat="1" applyFont="1" applyFill="1" applyBorder="1" applyAlignment="1" applyProtection="1">
      <alignment horizontal="center" vertical="top"/>
      <protection hidden="1"/>
    </xf>
    <xf numFmtId="1" fontId="8" fillId="13" borderId="0" xfId="0" applyNumberFormat="1" applyFont="1" applyFill="1" applyAlignment="1" applyProtection="1">
      <alignment vertical="top"/>
      <protection hidden="1"/>
    </xf>
    <xf numFmtId="1" fontId="8" fillId="0" borderId="0" xfId="0" applyNumberFormat="1" applyFont="1" applyAlignment="1" applyProtection="1">
      <alignment vertical="top"/>
      <protection hidden="1"/>
    </xf>
    <xf numFmtId="1" fontId="8" fillId="6" borderId="2" xfId="0" applyNumberFormat="1" applyFont="1" applyFill="1" applyBorder="1" applyAlignment="1" applyProtection="1">
      <alignment vertical="top" wrapText="1"/>
      <protection hidden="1"/>
    </xf>
    <xf numFmtId="1" fontId="8" fillId="6" borderId="5" xfId="0" applyNumberFormat="1" applyFont="1" applyFill="1" applyBorder="1" applyAlignment="1" applyProtection="1">
      <alignment horizontal="center" vertical="top"/>
      <protection hidden="1"/>
    </xf>
    <xf numFmtId="0" fontId="35" fillId="15" borderId="1" xfId="0" applyFont="1" applyFill="1" applyBorder="1" applyAlignment="1" applyProtection="1">
      <alignment horizontal="center" vertical="center" wrapText="1"/>
      <protection hidden="1"/>
    </xf>
    <xf numFmtId="168" fontId="48" fillId="13" borderId="1" xfId="2" applyNumberFormat="1" applyFont="1" applyFill="1" applyBorder="1" applyAlignment="1" applyProtection="1">
      <alignment horizontal="center" wrapText="1"/>
      <protection hidden="1"/>
    </xf>
    <xf numFmtId="9" fontId="69" fillId="0" borderId="1" xfId="0" applyNumberFormat="1" applyFont="1" applyBorder="1" applyAlignment="1">
      <alignment horizontal="center" wrapText="1"/>
    </xf>
    <xf numFmtId="2" fontId="8" fillId="6" borderId="2" xfId="0" applyNumberFormat="1" applyFont="1" applyFill="1" applyBorder="1" applyAlignment="1">
      <alignment vertical="top" wrapText="1"/>
    </xf>
    <xf numFmtId="2" fontId="8" fillId="6" borderId="5" xfId="0" applyNumberFormat="1" applyFont="1" applyFill="1" applyBorder="1" applyAlignment="1">
      <alignment horizontal="center" vertical="top"/>
    </xf>
    <xf numFmtId="2" fontId="8" fillId="13" borderId="0" xfId="0" applyNumberFormat="1" applyFont="1" applyFill="1" applyAlignment="1">
      <alignment vertical="top"/>
    </xf>
    <xf numFmtId="2" fontId="8" fillId="0" borderId="0" xfId="0" applyNumberFormat="1" applyFont="1" applyAlignment="1">
      <alignment vertical="top"/>
    </xf>
    <xf numFmtId="2" fontId="8" fillId="13" borderId="0" xfId="0" applyNumberFormat="1" applyFont="1" applyFill="1" applyAlignment="1" applyProtection="1">
      <alignment wrapText="1"/>
      <protection hidden="1"/>
    </xf>
    <xf numFmtId="166" fontId="8" fillId="13" borderId="1" xfId="0" quotePrefix="1" applyNumberFormat="1" applyFont="1" applyFill="1" applyBorder="1" applyAlignment="1" applyProtection="1">
      <alignment horizontal="center"/>
      <protection hidden="1"/>
    </xf>
    <xf numFmtId="2" fontId="0" fillId="13" borderId="0" xfId="0" applyNumberFormat="1" applyFill="1" applyProtection="1">
      <protection hidden="1"/>
    </xf>
    <xf numFmtId="1" fontId="0" fillId="13" borderId="0" xfId="0" applyNumberFormat="1" applyFill="1" applyAlignment="1" applyProtection="1">
      <alignment horizontal="center"/>
      <protection hidden="1"/>
    </xf>
    <xf numFmtId="10" fontId="8" fillId="13" borderId="0" xfId="0" applyNumberFormat="1" applyFont="1" applyFill="1" applyAlignment="1" applyProtection="1">
      <alignment wrapText="1"/>
      <protection hidden="1"/>
    </xf>
    <xf numFmtId="166" fontId="0" fillId="13" borderId="0" xfId="0" applyNumberFormat="1" applyFill="1" applyProtection="1">
      <protection hidden="1"/>
    </xf>
    <xf numFmtId="166" fontId="0" fillId="2" borderId="0" xfId="0" applyNumberFormat="1" applyFill="1" applyProtection="1">
      <protection hidden="1"/>
    </xf>
    <xf numFmtId="2" fontId="8" fillId="13" borderId="0" xfId="0" applyNumberFormat="1" applyFont="1" applyFill="1" applyAlignment="1" applyProtection="1">
      <alignment vertical="top" wrapText="1"/>
      <protection hidden="1"/>
    </xf>
    <xf numFmtId="10" fontId="0" fillId="13" borderId="0" xfId="0" applyNumberFormat="1" applyFill="1" applyAlignment="1" applyProtection="1">
      <alignment horizontal="center"/>
      <protection hidden="1"/>
    </xf>
    <xf numFmtId="10" fontId="8" fillId="13" borderId="0" xfId="0" applyNumberFormat="1" applyFont="1" applyFill="1" applyAlignment="1" applyProtection="1">
      <alignment vertical="top" wrapText="1"/>
      <protection hidden="1"/>
    </xf>
    <xf numFmtId="2" fontId="8" fillId="13" borderId="1" xfId="0" quotePrefix="1" applyNumberFormat="1" applyFont="1" applyFill="1" applyBorder="1" applyAlignment="1" applyProtection="1">
      <alignment horizontal="center"/>
      <protection hidden="1"/>
    </xf>
    <xf numFmtId="10" fontId="0" fillId="13" borderId="0" xfId="0" applyNumberFormat="1" applyFill="1" applyProtection="1">
      <protection hidden="1"/>
    </xf>
    <xf numFmtId="10" fontId="0" fillId="2" borderId="0" xfId="0" applyNumberFormat="1" applyFill="1" applyProtection="1">
      <protection hidden="1"/>
    </xf>
    <xf numFmtId="166" fontId="8" fillId="13" borderId="4" xfId="0" quotePrefix="1" applyNumberFormat="1" applyFont="1" applyFill="1" applyBorder="1" applyAlignment="1" applyProtection="1">
      <alignment horizontal="center"/>
      <protection hidden="1"/>
    </xf>
    <xf numFmtId="1" fontId="8" fillId="13" borderId="0" xfId="0" applyNumberFormat="1" applyFont="1" applyFill="1" applyAlignment="1" applyProtection="1">
      <alignment wrapText="1"/>
      <protection hidden="1"/>
    </xf>
    <xf numFmtId="166" fontId="8" fillId="3" borderId="1" xfId="0" quotePrefix="1" applyNumberFormat="1" applyFont="1" applyFill="1" applyBorder="1" applyAlignment="1" applyProtection="1">
      <alignment horizontal="center"/>
      <protection locked="0" hidden="1"/>
    </xf>
    <xf numFmtId="166" fontId="8" fillId="13" borderId="0" xfId="0" applyNumberFormat="1" applyFont="1" applyFill="1" applyProtection="1">
      <protection hidden="1"/>
    </xf>
    <xf numFmtId="1" fontId="8" fillId="3" borderId="1" xfId="0" applyNumberFormat="1" applyFont="1" applyFill="1" applyBorder="1" applyAlignment="1" applyProtection="1">
      <alignment horizontal="center"/>
      <protection locked="0" hidden="1"/>
    </xf>
    <xf numFmtId="1" fontId="8" fillId="3" borderId="1" xfId="0" applyNumberFormat="1" applyFont="1" applyFill="1" applyBorder="1" applyAlignment="1" applyProtection="1">
      <alignment horizontal="center"/>
      <protection hidden="1"/>
    </xf>
    <xf numFmtId="2" fontId="32" fillId="13" borderId="0" xfId="0" applyNumberFormat="1" applyFont="1" applyFill="1" applyAlignment="1" applyProtection="1">
      <alignment horizontal="left" wrapText="1"/>
      <protection hidden="1"/>
    </xf>
    <xf numFmtId="2" fontId="32" fillId="5" borderId="1" xfId="0" applyNumberFormat="1" applyFont="1" applyFill="1" applyBorder="1" applyAlignment="1" applyProtection="1">
      <alignment horizontal="left" wrapText="1"/>
      <protection hidden="1"/>
    </xf>
    <xf numFmtId="2" fontId="4" fillId="15" borderId="1" xfId="0" applyNumberFormat="1" applyFont="1" applyFill="1" applyBorder="1" applyAlignment="1" applyProtection="1">
      <alignment horizontal="center"/>
      <protection hidden="1"/>
    </xf>
    <xf numFmtId="2" fontId="32" fillId="13" borderId="6" xfId="0" applyNumberFormat="1" applyFont="1" applyFill="1" applyBorder="1" applyAlignment="1" applyProtection="1">
      <alignment horizontal="center"/>
      <protection hidden="1"/>
    </xf>
    <xf numFmtId="2" fontId="8" fillId="13" borderId="6" xfId="0" applyNumberFormat="1" applyFont="1" applyFill="1" applyBorder="1" applyAlignment="1" applyProtection="1">
      <alignment horizontal="center"/>
      <protection hidden="1"/>
    </xf>
    <xf numFmtId="2" fontId="4" fillId="13" borderId="6" xfId="0" applyNumberFormat="1" applyFont="1" applyFill="1" applyBorder="1" applyAlignment="1" applyProtection="1">
      <alignment horizontal="center"/>
      <protection hidden="1"/>
    </xf>
    <xf numFmtId="2" fontId="33" fillId="13" borderId="6" xfId="0" applyNumberFormat="1" applyFont="1" applyFill="1" applyBorder="1" applyAlignment="1" applyProtection="1">
      <alignment horizontal="center"/>
      <protection hidden="1"/>
    </xf>
    <xf numFmtId="1" fontId="33" fillId="13" borderId="14" xfId="0" applyNumberFormat="1" applyFont="1" applyFill="1" applyBorder="1" applyAlignment="1" applyProtection="1">
      <alignment horizontal="center"/>
      <protection hidden="1"/>
    </xf>
    <xf numFmtId="2" fontId="33" fillId="13" borderId="14" xfId="0" applyNumberFormat="1" applyFont="1" applyFill="1" applyBorder="1" applyAlignment="1" applyProtection="1">
      <alignment horizontal="left" wrapText="1"/>
      <protection hidden="1"/>
    </xf>
    <xf numFmtId="2" fontId="4" fillId="13" borderId="14" xfId="0" applyNumberFormat="1" applyFont="1" applyFill="1" applyBorder="1" applyAlignment="1" applyProtection="1">
      <alignment horizontal="center"/>
      <protection hidden="1"/>
    </xf>
    <xf numFmtId="2" fontId="4" fillId="13" borderId="14" xfId="0" applyNumberFormat="1" applyFont="1" applyFill="1" applyBorder="1" applyAlignment="1" applyProtection="1">
      <alignment horizontal="center" wrapText="1"/>
      <protection hidden="1"/>
    </xf>
    <xf numFmtId="2" fontId="8" fillId="13" borderId="14" xfId="0" applyNumberFormat="1" applyFont="1" applyFill="1" applyBorder="1" applyAlignment="1" applyProtection="1">
      <alignment horizontal="center"/>
      <protection hidden="1"/>
    </xf>
    <xf numFmtId="2" fontId="32" fillId="13" borderId="14" xfId="0" applyNumberFormat="1" applyFont="1" applyFill="1" applyBorder="1" applyAlignment="1" applyProtection="1">
      <alignment horizontal="center"/>
      <protection hidden="1"/>
    </xf>
    <xf numFmtId="2" fontId="33" fillId="13" borderId="14" xfId="0" applyNumberFormat="1" applyFont="1" applyFill="1" applyBorder="1" applyAlignment="1" applyProtection="1">
      <alignment horizontal="center"/>
      <protection hidden="1"/>
    </xf>
    <xf numFmtId="2" fontId="33" fillId="13" borderId="10" xfId="0" applyNumberFormat="1" applyFont="1" applyFill="1" applyBorder="1" applyAlignment="1" applyProtection="1">
      <alignment horizontal="center"/>
      <protection hidden="1"/>
    </xf>
    <xf numFmtId="2" fontId="32" fillId="5" borderId="1" xfId="0" applyNumberFormat="1" applyFont="1" applyFill="1" applyBorder="1" applyAlignment="1" applyProtection="1">
      <alignment horizontal="center"/>
      <protection hidden="1"/>
    </xf>
    <xf numFmtId="1" fontId="35" fillId="5" borderId="6" xfId="2" applyNumberFormat="1" applyFont="1" applyFill="1" applyBorder="1" applyAlignment="1" applyProtection="1">
      <alignment horizontal="center"/>
      <protection hidden="1"/>
    </xf>
    <xf numFmtId="0" fontId="35" fillId="5" borderId="6" xfId="2" applyFont="1" applyFill="1" applyBorder="1" applyAlignment="1" applyProtection="1">
      <alignment horizontal="center"/>
      <protection hidden="1"/>
    </xf>
    <xf numFmtId="2" fontId="35" fillId="5" borderId="6" xfId="2" applyNumberFormat="1" applyFont="1" applyFill="1" applyBorder="1" applyAlignment="1" applyProtection="1">
      <alignment horizontal="center"/>
      <protection hidden="1"/>
    </xf>
    <xf numFmtId="0" fontId="35" fillId="5" borderId="3" xfId="2" applyFont="1" applyFill="1" applyBorder="1" applyAlignment="1" applyProtection="1">
      <alignment horizontal="center"/>
      <protection hidden="1"/>
    </xf>
    <xf numFmtId="0" fontId="35" fillId="5" borderId="6" xfId="2" applyFont="1" applyFill="1" applyBorder="1" applyAlignment="1">
      <alignment horizontal="center"/>
    </xf>
    <xf numFmtId="10" fontId="35" fillId="5" borderId="6" xfId="2" applyNumberFormat="1" applyFont="1" applyFill="1" applyBorder="1" applyAlignment="1" applyProtection="1">
      <alignment horizontal="center"/>
      <protection hidden="1"/>
    </xf>
    <xf numFmtId="0" fontId="35" fillId="5" borderId="4" xfId="2" applyFont="1" applyFill="1" applyBorder="1" applyAlignment="1" applyProtection="1">
      <alignment horizontal="center"/>
      <protection hidden="1"/>
    </xf>
    <xf numFmtId="2" fontId="38" fillId="5" borderId="9" xfId="0" applyNumberFormat="1" applyFont="1" applyFill="1" applyBorder="1" applyAlignment="1" applyProtection="1">
      <alignment horizontal="center"/>
      <protection hidden="1"/>
    </xf>
    <xf numFmtId="2" fontId="38" fillId="5" borderId="10" xfId="0" applyNumberFormat="1" applyFont="1" applyFill="1" applyBorder="1" applyAlignment="1" applyProtection="1">
      <alignment horizontal="center"/>
      <protection hidden="1"/>
    </xf>
    <xf numFmtId="0" fontId="4" fillId="5" borderId="9" xfId="0" applyFont="1" applyFill="1" applyBorder="1"/>
    <xf numFmtId="0" fontId="0" fillId="5" borderId="14" xfId="0" applyFill="1" applyBorder="1"/>
    <xf numFmtId="0" fontId="0" fillId="5" borderId="10" xfId="0" applyFill="1" applyBorder="1"/>
    <xf numFmtId="0" fontId="4" fillId="5" borderId="8" xfId="0" applyFont="1" applyFill="1" applyBorder="1"/>
    <xf numFmtId="0" fontId="0" fillId="5" borderId="0" xfId="0" applyFill="1"/>
    <xf numFmtId="0" fontId="0" fillId="5" borderId="6" xfId="0" applyFill="1" applyBorder="1"/>
    <xf numFmtId="0" fontId="53" fillId="13" borderId="15" xfId="0" applyFont="1" applyFill="1" applyBorder="1" applyAlignment="1">
      <alignment wrapText="1"/>
    </xf>
    <xf numFmtId="0" fontId="53" fillId="13" borderId="5" xfId="0" applyFont="1" applyFill="1" applyBorder="1" applyAlignment="1">
      <alignment wrapText="1"/>
    </xf>
    <xf numFmtId="2" fontId="34" fillId="5" borderId="5" xfId="0" applyNumberFormat="1" applyFont="1" applyFill="1" applyBorder="1" applyAlignment="1" applyProtection="1">
      <alignment horizontal="center"/>
      <protection hidden="1"/>
    </xf>
    <xf numFmtId="2" fontId="8" fillId="0" borderId="7" xfId="0" applyNumberFormat="1" applyFont="1" applyBorder="1" applyProtection="1">
      <protection hidden="1"/>
    </xf>
    <xf numFmtId="0" fontId="35" fillId="13" borderId="0" xfId="0" applyFont="1" applyFill="1"/>
    <xf numFmtId="2" fontId="35" fillId="5" borderId="1" xfId="2" applyNumberFormat="1" applyFont="1" applyFill="1" applyBorder="1" applyAlignment="1" applyProtection="1">
      <alignment horizontal="center" vertical="top" wrapText="1"/>
      <protection hidden="1"/>
    </xf>
    <xf numFmtId="10" fontId="4" fillId="0" borderId="1" xfId="0" applyNumberFormat="1" applyFont="1" applyBorder="1" applyAlignment="1" applyProtection="1">
      <alignment horizontal="center"/>
      <protection hidden="1"/>
    </xf>
    <xf numFmtId="10" fontId="0" fillId="13" borderId="6" xfId="0" applyNumberFormat="1" applyFill="1" applyBorder="1" applyProtection="1">
      <protection hidden="1"/>
    </xf>
    <xf numFmtId="10" fontId="0" fillId="0" borderId="0" xfId="0" applyNumberFormat="1" applyProtection="1">
      <protection hidden="1"/>
    </xf>
    <xf numFmtId="2" fontId="44" fillId="13" borderId="14" xfId="0" applyNumberFormat="1" applyFont="1" applyFill="1" applyBorder="1" applyAlignment="1" applyProtection="1">
      <alignment horizontal="center" vertical="center"/>
      <protection hidden="1"/>
    </xf>
    <xf numFmtId="2" fontId="44" fillId="0" borderId="0" xfId="0" applyNumberFormat="1" applyFont="1" applyAlignment="1" applyProtection="1">
      <alignment horizontal="center" vertical="center"/>
      <protection hidden="1"/>
    </xf>
    <xf numFmtId="2" fontId="35" fillId="13" borderId="14" xfId="0" applyNumberFormat="1" applyFont="1" applyFill="1" applyBorder="1" applyAlignment="1" applyProtection="1">
      <alignment horizontal="left" vertical="center"/>
      <protection hidden="1"/>
    </xf>
    <xf numFmtId="169" fontId="8" fillId="5" borderId="1" xfId="0" quotePrefix="1" applyNumberFormat="1" applyFont="1" applyFill="1" applyBorder="1" applyAlignment="1">
      <alignment horizontal="center"/>
    </xf>
    <xf numFmtId="1" fontId="8" fillId="5" borderId="1" xfId="0" quotePrefix="1" applyNumberFormat="1" applyFont="1" applyFill="1" applyBorder="1" applyAlignment="1">
      <alignment horizontal="center"/>
    </xf>
    <xf numFmtId="1" fontId="34" fillId="5" borderId="1" xfId="2" applyNumberFormat="1" applyFont="1" applyFill="1" applyBorder="1" applyAlignment="1" applyProtection="1">
      <alignment horizontal="center"/>
      <protection hidden="1"/>
    </xf>
    <xf numFmtId="1" fontId="4" fillId="3" borderId="1" xfId="0" applyNumberFormat="1" applyFont="1" applyFill="1" applyBorder="1" applyAlignment="1" applyProtection="1">
      <alignment horizontal="center"/>
      <protection hidden="1"/>
    </xf>
    <xf numFmtId="1" fontId="26" fillId="5" borderId="1" xfId="0" applyNumberFormat="1" applyFont="1" applyFill="1" applyBorder="1" applyAlignment="1" applyProtection="1">
      <alignment horizontal="center"/>
      <protection hidden="1"/>
    </xf>
    <xf numFmtId="1" fontId="26" fillId="5" borderId="11" xfId="0" applyNumberFormat="1" applyFont="1" applyFill="1" applyBorder="1" applyAlignment="1" applyProtection="1">
      <alignment horizontal="center"/>
      <protection hidden="1"/>
    </xf>
    <xf numFmtId="1" fontId="26" fillId="5" borderId="8" xfId="0" applyNumberFormat="1" applyFont="1" applyFill="1" applyBorder="1" applyAlignment="1" applyProtection="1">
      <alignment horizontal="center"/>
      <protection hidden="1"/>
    </xf>
    <xf numFmtId="1" fontId="4" fillId="5" borderId="1" xfId="0" applyNumberFormat="1" applyFont="1" applyFill="1" applyBorder="1" applyAlignment="1" applyProtection="1">
      <alignment horizontal="center"/>
      <protection hidden="1"/>
    </xf>
    <xf numFmtId="1" fontId="4" fillId="5" borderId="1" xfId="0" applyNumberFormat="1" applyFont="1" applyFill="1" applyBorder="1" applyAlignment="1" applyProtection="1">
      <alignment horizontal="center" wrapText="1"/>
      <protection hidden="1"/>
    </xf>
    <xf numFmtId="0" fontId="4" fillId="9" borderId="11" xfId="1" applyFont="1" applyFill="1" applyBorder="1" applyAlignment="1">
      <alignment horizontal="justify" wrapText="1"/>
    </xf>
    <xf numFmtId="0" fontId="0" fillId="9" borderId="13" xfId="0" applyFill="1" applyBorder="1" applyAlignment="1">
      <alignment horizontal="justify" wrapText="1"/>
    </xf>
    <xf numFmtId="0" fontId="0" fillId="9" borderId="12" xfId="0" applyFill="1" applyBorder="1" applyAlignment="1">
      <alignment horizontal="justify" wrapText="1"/>
    </xf>
    <xf numFmtId="0" fontId="72" fillId="9" borderId="7" xfId="0" applyFont="1" applyFill="1" applyBorder="1" applyAlignment="1">
      <alignment vertical="center" wrapText="1"/>
    </xf>
    <xf numFmtId="0" fontId="0" fillId="0" borderId="15" xfId="0" applyBorder="1" applyAlignment="1">
      <alignment vertical="center"/>
    </xf>
    <xf numFmtId="0" fontId="0" fillId="0" borderId="5" xfId="0" applyBorder="1" applyAlignment="1">
      <alignment vertical="center"/>
    </xf>
    <xf numFmtId="0" fontId="4" fillId="5" borderId="7" xfId="0" applyFont="1" applyFill="1" applyBorder="1"/>
    <xf numFmtId="0" fontId="0" fillId="5" borderId="15" xfId="0" applyFill="1" applyBorder="1"/>
    <xf numFmtId="0" fontId="0" fillId="5" borderId="5" xfId="0" applyFill="1" applyBorder="1"/>
    <xf numFmtId="0" fontId="4" fillId="5" borderId="8" xfId="0" applyFont="1" applyFill="1" applyBorder="1"/>
    <xf numFmtId="0" fontId="0" fillId="5" borderId="0" xfId="0" applyFill="1"/>
    <xf numFmtId="0" fontId="0" fillId="5" borderId="6" xfId="0" applyFill="1" applyBorder="1"/>
    <xf numFmtId="166" fontId="11" fillId="4" borderId="0" xfId="3" quotePrefix="1" applyNumberFormat="1" applyFont="1" applyFill="1" applyBorder="1" applyAlignment="1" applyProtection="1">
      <alignment horizontal="left" indent="6"/>
    </xf>
    <xf numFmtId="166" fontId="11" fillId="4" borderId="0" xfId="0" applyNumberFormat="1" applyFont="1" applyFill="1" applyAlignment="1">
      <alignment horizontal="left" indent="6"/>
    </xf>
    <xf numFmtId="167" fontId="10" fillId="3" borderId="1" xfId="3" applyNumberFormat="1" applyFont="1" applyFill="1" applyBorder="1" applyAlignment="1" applyProtection="1">
      <alignment horizontal="center"/>
      <protection locked="0"/>
    </xf>
    <xf numFmtId="166" fontId="11" fillId="4" borderId="0" xfId="3" applyNumberFormat="1" applyFont="1" applyFill="1" applyBorder="1" applyAlignment="1" applyProtection="1">
      <alignment horizontal="left" indent="6"/>
    </xf>
    <xf numFmtId="166" fontId="74" fillId="13" borderId="0" xfId="0" applyNumberFormat="1" applyFont="1" applyFill="1"/>
    <xf numFmtId="166" fontId="8" fillId="13" borderId="0" xfId="0" applyNumberFormat="1" applyFont="1" applyFill="1"/>
    <xf numFmtId="0" fontId="8" fillId="13" borderId="0" xfId="0" applyFont="1" applyFill="1"/>
    <xf numFmtId="166" fontId="11" fillId="4" borderId="0" xfId="0" quotePrefix="1" applyNumberFormat="1" applyFont="1" applyFill="1" applyAlignment="1">
      <alignment horizontal="left" indent="6"/>
    </xf>
    <xf numFmtId="166" fontId="13" fillId="12" borderId="1" xfId="3" applyNumberFormat="1" applyFont="1" applyFill="1" applyBorder="1" applyAlignment="1" applyProtection="1">
      <alignment horizontal="center"/>
    </xf>
    <xf numFmtId="166" fontId="13" fillId="12" borderId="11" xfId="3" applyNumberFormat="1" applyFont="1" applyFill="1" applyBorder="1" applyAlignment="1" applyProtection="1">
      <alignment horizontal="center"/>
    </xf>
    <xf numFmtId="166" fontId="13" fillId="12" borderId="12" xfId="3" applyNumberFormat="1" applyFont="1" applyFill="1" applyBorder="1" applyAlignment="1" applyProtection="1">
      <alignment horizontal="center"/>
    </xf>
    <xf numFmtId="166" fontId="11" fillId="4" borderId="8" xfId="0" quotePrefix="1" applyNumberFormat="1" applyFont="1" applyFill="1" applyBorder="1" applyAlignment="1">
      <alignment horizontal="center"/>
    </xf>
    <xf numFmtId="166" fontId="9" fillId="4" borderId="0" xfId="0" quotePrefix="1" applyNumberFormat="1" applyFont="1" applyFill="1" applyAlignment="1">
      <alignment horizontal="center"/>
    </xf>
    <xf numFmtId="166" fontId="8" fillId="3" borderId="11" xfId="0" applyNumberFormat="1" applyFont="1" applyFill="1" applyBorder="1" applyProtection="1">
      <protection locked="0"/>
    </xf>
    <xf numFmtId="166" fontId="0" fillId="3" borderId="13" xfId="0" applyNumberFormat="1" applyFill="1" applyBorder="1" applyProtection="1">
      <protection locked="0"/>
    </xf>
    <xf numFmtId="166" fontId="0" fillId="3" borderId="12" xfId="0" applyNumberFormat="1" applyFill="1" applyBorder="1" applyProtection="1">
      <protection locked="0"/>
    </xf>
    <xf numFmtId="0" fontId="11" fillId="4" borderId="8" xfId="0" quotePrefix="1" applyFont="1" applyFill="1" applyBorder="1" applyAlignment="1">
      <alignment horizontal="left" vertical="top" indent="6"/>
    </xf>
    <xf numFmtId="0" fontId="11" fillId="4" borderId="0" xfId="0" applyFont="1" applyFill="1" applyAlignment="1">
      <alignment horizontal="left" vertical="top" indent="6"/>
    </xf>
    <xf numFmtId="2" fontId="0" fillId="12" borderId="1" xfId="0" applyNumberFormat="1" applyFill="1" applyBorder="1" applyAlignment="1">
      <alignment horizontal="center"/>
    </xf>
    <xf numFmtId="0" fontId="7" fillId="12" borderId="11" xfId="0" applyFont="1" applyFill="1" applyBorder="1" applyAlignment="1">
      <alignment horizontal="center" wrapText="1"/>
    </xf>
    <xf numFmtId="0" fontId="7" fillId="12" borderId="12" xfId="0" applyFont="1" applyFill="1" applyBorder="1" applyAlignment="1">
      <alignment horizontal="center" wrapText="1"/>
    </xf>
    <xf numFmtId="0" fontId="11" fillId="4" borderId="0" xfId="0" quotePrefix="1" applyFont="1" applyFill="1" applyAlignment="1">
      <alignment horizontal="left" indent="6"/>
    </xf>
    <xf numFmtId="0" fontId="11" fillId="4" borderId="0" xfId="0" applyFont="1" applyFill="1" applyAlignment="1">
      <alignment horizontal="left" indent="6"/>
    </xf>
    <xf numFmtId="0" fontId="7" fillId="12" borderId="11" xfId="0" applyFont="1" applyFill="1" applyBorder="1" applyAlignment="1">
      <alignment horizontal="center"/>
    </xf>
    <xf numFmtId="0" fontId="7" fillId="12" borderId="12" xfId="0" applyFont="1" applyFill="1" applyBorder="1" applyAlignment="1">
      <alignment horizontal="center"/>
    </xf>
    <xf numFmtId="0" fontId="7" fillId="4" borderId="8" xfId="0" applyFont="1" applyFill="1" applyBorder="1" applyAlignment="1">
      <alignment horizontal="center"/>
    </xf>
    <xf numFmtId="0" fontId="7" fillId="4" borderId="0" xfId="0" applyFont="1" applyFill="1" applyAlignment="1">
      <alignment horizontal="center"/>
    </xf>
    <xf numFmtId="167" fontId="10" fillId="3" borderId="11" xfId="3" applyNumberFormat="1" applyFont="1" applyFill="1" applyBorder="1" applyAlignment="1" applyProtection="1">
      <alignment horizontal="center"/>
      <protection locked="0"/>
    </xf>
    <xf numFmtId="167" fontId="10" fillId="3" borderId="12" xfId="3" applyNumberFormat="1" applyFont="1" applyFill="1" applyBorder="1" applyAlignment="1" applyProtection="1">
      <alignment horizontal="center"/>
      <protection locked="0"/>
    </xf>
    <xf numFmtId="167" fontId="10" fillId="3" borderId="2" xfId="3" applyNumberFormat="1" applyFont="1" applyFill="1" applyBorder="1" applyAlignment="1" applyProtection="1">
      <alignment horizontal="center"/>
      <protection locked="0"/>
    </xf>
    <xf numFmtId="166" fontId="14" fillId="12" borderId="4" xfId="3" applyNumberFormat="1" applyFont="1" applyFill="1" applyBorder="1" applyAlignment="1" applyProtection="1">
      <alignment horizontal="center"/>
    </xf>
    <xf numFmtId="166" fontId="14" fillId="12" borderId="11" xfId="3" applyNumberFormat="1" applyFont="1" applyFill="1" applyBorder="1" applyAlignment="1" applyProtection="1">
      <alignment horizontal="center"/>
    </xf>
    <xf numFmtId="166" fontId="14" fillId="12" borderId="12" xfId="3" applyNumberFormat="1" applyFont="1" applyFill="1" applyBorder="1" applyAlignment="1" applyProtection="1">
      <alignment horizontal="center"/>
    </xf>
    <xf numFmtId="0" fontId="53" fillId="13" borderId="2" xfId="0" applyFont="1" applyFill="1" applyBorder="1" applyAlignment="1" applyProtection="1">
      <alignment horizontal="center" vertical="center" textRotation="180"/>
      <protection hidden="1"/>
    </xf>
    <xf numFmtId="0" fontId="4" fillId="13" borderId="3" xfId="0" applyFont="1" applyFill="1" applyBorder="1" applyAlignment="1">
      <alignment horizontal="center" vertical="center" textRotation="180"/>
    </xf>
    <xf numFmtId="0" fontId="4" fillId="13" borderId="4" xfId="0" applyFont="1" applyFill="1" applyBorder="1" applyAlignment="1">
      <alignment horizontal="center" vertical="center" textRotation="180"/>
    </xf>
    <xf numFmtId="2" fontId="48" fillId="13" borderId="11" xfId="2" applyNumberFormat="1" applyFont="1" applyFill="1" applyBorder="1" applyAlignment="1" applyProtection="1">
      <alignment horizontal="center" wrapText="1"/>
      <protection hidden="1"/>
    </xf>
    <xf numFmtId="0" fontId="54" fillId="13" borderId="12" xfId="0" applyFont="1" applyFill="1" applyBorder="1" applyAlignment="1">
      <alignment horizontal="center" wrapText="1"/>
    </xf>
    <xf numFmtId="2" fontId="48" fillId="11" borderId="11" xfId="2" applyNumberFormat="1" applyFont="1" applyFill="1" applyBorder="1" applyAlignment="1" applyProtection="1">
      <alignment horizontal="center" wrapText="1"/>
      <protection hidden="1"/>
    </xf>
    <xf numFmtId="0" fontId="54" fillId="11" borderId="13" xfId="0" applyFont="1" applyFill="1" applyBorder="1" applyAlignment="1">
      <alignment horizontal="center" wrapText="1"/>
    </xf>
    <xf numFmtId="0" fontId="54" fillId="11" borderId="12" xfId="0" applyFont="1" applyFill="1" applyBorder="1" applyAlignment="1">
      <alignment horizontal="center" wrapText="1"/>
    </xf>
    <xf numFmtId="2" fontId="35" fillId="11" borderId="2" xfId="2" applyNumberFormat="1" applyFont="1" applyFill="1" applyBorder="1" applyAlignment="1" applyProtection="1">
      <alignment horizontal="center" vertical="center" wrapText="1"/>
      <protection hidden="1"/>
    </xf>
    <xf numFmtId="0" fontId="36" fillId="11" borderId="4" xfId="0" applyFont="1" applyFill="1" applyBorder="1" applyAlignment="1" applyProtection="1">
      <alignment horizontal="center" vertical="center" wrapText="1"/>
      <protection hidden="1"/>
    </xf>
    <xf numFmtId="2" fontId="35" fillId="13" borderId="2" xfId="2" applyNumberFormat="1" applyFont="1" applyFill="1" applyBorder="1" applyAlignment="1" applyProtection="1">
      <alignment horizontal="center" vertical="center" textRotation="180" wrapText="1"/>
      <protection hidden="1"/>
    </xf>
    <xf numFmtId="0" fontId="36" fillId="13" borderId="4" xfId="0" applyFont="1" applyFill="1" applyBorder="1" applyAlignment="1" applyProtection="1">
      <alignment horizontal="center" vertical="center" textRotation="180" wrapText="1"/>
      <protection hidden="1"/>
    </xf>
    <xf numFmtId="0" fontId="53" fillId="11" borderId="2" xfId="0" applyFont="1" applyFill="1" applyBorder="1" applyAlignment="1" applyProtection="1">
      <alignment horizontal="center" vertical="center" textRotation="180"/>
      <protection hidden="1"/>
    </xf>
    <xf numFmtId="0" fontId="4" fillId="11" borderId="3" xfId="0" applyFont="1" applyFill="1" applyBorder="1" applyAlignment="1">
      <alignment horizontal="center" vertical="center" textRotation="180"/>
    </xf>
    <xf numFmtId="0" fontId="4" fillId="11" borderId="4" xfId="0" applyFont="1" applyFill="1" applyBorder="1" applyAlignment="1">
      <alignment horizontal="center" vertical="center" textRotation="180"/>
    </xf>
    <xf numFmtId="2" fontId="34" fillId="13" borderId="0" xfId="2" applyNumberFormat="1" applyFont="1" applyFill="1" applyAlignment="1" applyProtection="1">
      <alignment horizontal="center"/>
      <protection hidden="1"/>
    </xf>
    <xf numFmtId="0" fontId="0" fillId="13" borderId="0" xfId="0" applyFill="1"/>
    <xf numFmtId="0" fontId="53" fillId="11" borderId="1" xfId="0" applyFont="1" applyFill="1" applyBorder="1" applyAlignment="1" applyProtection="1">
      <alignment horizontal="center"/>
      <protection hidden="1"/>
    </xf>
    <xf numFmtId="0" fontId="54" fillId="11" borderId="1" xfId="0" applyFont="1" applyFill="1" applyBorder="1" applyAlignment="1" applyProtection="1">
      <alignment horizontal="center"/>
      <protection hidden="1"/>
    </xf>
    <xf numFmtId="2" fontId="34" fillId="13" borderId="1" xfId="2" applyNumberFormat="1" applyFont="1" applyFill="1" applyBorder="1" applyAlignment="1" applyProtection="1">
      <alignment horizontal="center" wrapText="1"/>
      <protection hidden="1"/>
    </xf>
    <xf numFmtId="2" fontId="32" fillId="13" borderId="1" xfId="0" applyNumberFormat="1" applyFont="1" applyFill="1" applyBorder="1" applyAlignment="1" applyProtection="1">
      <alignment horizontal="center" wrapText="1"/>
      <protection hidden="1"/>
    </xf>
    <xf numFmtId="168" fontId="48" fillId="13" borderId="14" xfId="2" applyNumberFormat="1" applyFont="1" applyFill="1" applyBorder="1" applyAlignment="1" applyProtection="1">
      <alignment horizontal="left" vertical="center"/>
      <protection hidden="1"/>
    </xf>
    <xf numFmtId="0" fontId="0" fillId="13" borderId="14" xfId="0" applyFill="1" applyBorder="1" applyAlignment="1">
      <alignment vertical="center"/>
    </xf>
    <xf numFmtId="2" fontId="34" fillId="13" borderId="2" xfId="2" applyNumberFormat="1" applyFont="1" applyFill="1" applyBorder="1" applyAlignment="1" applyProtection="1">
      <alignment horizontal="center" wrapText="1"/>
      <protection hidden="1"/>
    </xf>
    <xf numFmtId="0" fontId="4" fillId="13" borderId="3" xfId="0" applyFont="1" applyFill="1" applyBorder="1" applyAlignment="1">
      <alignment horizontal="center" wrapText="1"/>
    </xf>
    <xf numFmtId="0" fontId="4" fillId="13" borderId="4" xfId="0" applyFont="1" applyFill="1" applyBorder="1" applyAlignment="1">
      <alignment horizontal="center" wrapText="1"/>
    </xf>
    <xf numFmtId="2" fontId="35" fillId="13" borderId="13" xfId="0" applyNumberFormat="1" applyFont="1" applyFill="1" applyBorder="1" applyAlignment="1" applyProtection="1">
      <alignment horizontal="left"/>
      <protection hidden="1"/>
    </xf>
    <xf numFmtId="10" fontId="4" fillId="5" borderId="11" xfId="0" applyNumberFormat="1" applyFont="1" applyFill="1" applyBorder="1" applyAlignment="1" applyProtection="1">
      <alignment horizontal="center"/>
      <protection hidden="1"/>
    </xf>
    <xf numFmtId="10" fontId="0" fillId="5" borderId="13" xfId="0" applyNumberFormat="1" applyFill="1" applyBorder="1" applyProtection="1">
      <protection hidden="1"/>
    </xf>
    <xf numFmtId="10" fontId="0" fillId="5" borderId="12" xfId="0" applyNumberFormat="1" applyFill="1" applyBorder="1" applyProtection="1">
      <protection hidden="1"/>
    </xf>
    <xf numFmtId="0" fontId="4" fillId="5" borderId="1" xfId="0" applyFont="1" applyFill="1" applyBorder="1" applyAlignment="1" applyProtection="1">
      <alignment horizontal="center"/>
      <protection hidden="1"/>
    </xf>
    <xf numFmtId="2" fontId="4" fillId="5" borderId="2" xfId="0" applyNumberFormat="1" applyFont="1" applyFill="1" applyBorder="1" applyAlignment="1" applyProtection="1">
      <alignment horizontal="center" wrapText="1"/>
      <protection hidden="1"/>
    </xf>
    <xf numFmtId="2" fontId="4" fillId="5" borderId="4" xfId="0" applyNumberFormat="1" applyFont="1" applyFill="1" applyBorder="1" applyAlignment="1" applyProtection="1">
      <alignment horizontal="center" wrapText="1"/>
      <protection hidden="1"/>
    </xf>
    <xf numFmtId="2" fontId="4" fillId="5" borderId="1" xfId="0" applyNumberFormat="1" applyFont="1" applyFill="1" applyBorder="1" applyAlignment="1" applyProtection="1">
      <alignment horizontal="center"/>
      <protection hidden="1"/>
    </xf>
    <xf numFmtId="0" fontId="4" fillId="5" borderId="2" xfId="0" applyFont="1" applyFill="1" applyBorder="1" applyAlignment="1" applyProtection="1">
      <alignment horizontal="justify" vertical="center"/>
      <protection hidden="1"/>
    </xf>
    <xf numFmtId="0" fontId="4" fillId="5" borderId="3" xfId="0" applyFont="1" applyFill="1" applyBorder="1" applyAlignment="1" applyProtection="1">
      <alignment horizontal="justify" vertical="center"/>
      <protection hidden="1"/>
    </xf>
    <xf numFmtId="0" fontId="4" fillId="5" borderId="4" xfId="0" applyFont="1" applyFill="1" applyBorder="1" applyAlignment="1" applyProtection="1">
      <alignment horizontal="justify" vertical="center"/>
      <protection hidden="1"/>
    </xf>
    <xf numFmtId="10" fontId="53" fillId="9" borderId="2" xfId="0" applyNumberFormat="1" applyFont="1" applyFill="1" applyBorder="1" applyAlignment="1" applyProtection="1">
      <alignment horizontal="center" vertical="center"/>
      <protection hidden="1"/>
    </xf>
    <xf numFmtId="10" fontId="53" fillId="9" borderId="3" xfId="0" applyNumberFormat="1" applyFont="1" applyFill="1" applyBorder="1" applyAlignment="1" applyProtection="1">
      <alignment horizontal="center" vertical="center"/>
      <protection hidden="1"/>
    </xf>
    <xf numFmtId="10" fontId="53" fillId="9" borderId="4" xfId="0" applyNumberFormat="1" applyFont="1" applyFill="1" applyBorder="1" applyAlignment="1" applyProtection="1">
      <alignment horizontal="center" vertical="center"/>
      <protection hidden="1"/>
    </xf>
    <xf numFmtId="0" fontId="4" fillId="5" borderId="2" xfId="0" applyFont="1" applyFill="1" applyBorder="1" applyAlignment="1" applyProtection="1">
      <alignment horizontal="center" wrapText="1"/>
      <protection hidden="1"/>
    </xf>
    <xf numFmtId="0" fontId="4" fillId="5" borderId="4" xfId="0" applyFont="1" applyFill="1" applyBorder="1" applyAlignment="1" applyProtection="1">
      <alignment horizontal="center" wrapText="1"/>
      <protection hidden="1"/>
    </xf>
    <xf numFmtId="0" fontId="4" fillId="5" borderId="7" xfId="0" applyFont="1" applyFill="1" applyBorder="1" applyAlignment="1" applyProtection="1">
      <alignment horizontal="center" wrapText="1"/>
      <protection hidden="1"/>
    </xf>
    <xf numFmtId="0" fontId="4" fillId="5" borderId="9" xfId="0" applyFont="1" applyFill="1" applyBorder="1" applyAlignment="1" applyProtection="1">
      <alignment horizontal="center" wrapText="1"/>
      <protection hidden="1"/>
    </xf>
    <xf numFmtId="0" fontId="4" fillId="13" borderId="2" xfId="0" applyFont="1" applyFill="1" applyBorder="1" applyAlignment="1" applyProtection="1">
      <alignment horizontal="left" wrapText="1"/>
      <protection hidden="1"/>
    </xf>
    <xf numFmtId="0" fontId="4" fillId="13" borderId="4" xfId="0" applyFont="1" applyFill="1" applyBorder="1" applyAlignment="1" applyProtection="1">
      <alignment horizontal="left" wrapText="1"/>
      <protection hidden="1"/>
    </xf>
    <xf numFmtId="0" fontId="4" fillId="5" borderId="2" xfId="0" applyFont="1" applyFill="1" applyBorder="1" applyAlignment="1" applyProtection="1">
      <alignment horizontal="left" wrapText="1"/>
      <protection hidden="1"/>
    </xf>
    <xf numFmtId="0" fontId="4" fillId="5" borderId="4" xfId="0" applyFont="1" applyFill="1" applyBorder="1" applyAlignment="1" applyProtection="1">
      <alignment horizontal="left" wrapText="1"/>
      <protection hidden="1"/>
    </xf>
    <xf numFmtId="2" fontId="35" fillId="13" borderId="8" xfId="2" applyNumberFormat="1" applyFont="1" applyFill="1" applyBorder="1" applyAlignment="1" applyProtection="1">
      <alignment horizontal="left"/>
      <protection hidden="1"/>
    </xf>
    <xf numFmtId="0" fontId="0" fillId="13" borderId="0" xfId="0" applyFill="1" applyAlignment="1">
      <alignment horizontal="left"/>
    </xf>
    <xf numFmtId="2" fontId="36" fillId="13" borderId="11" xfId="2" applyNumberFormat="1" applyFont="1" applyFill="1" applyBorder="1" applyAlignment="1" applyProtection="1">
      <alignment horizontal="left" vertical="top" wrapText="1"/>
      <protection hidden="1"/>
    </xf>
    <xf numFmtId="0" fontId="0" fillId="0" borderId="13" xfId="0" applyBorder="1"/>
    <xf numFmtId="0" fontId="0" fillId="0" borderId="12" xfId="0" applyBorder="1"/>
    <xf numFmtId="2" fontId="35" fillId="5" borderId="11" xfId="2" applyNumberFormat="1" applyFont="1" applyFill="1" applyBorder="1" applyAlignment="1" applyProtection="1">
      <alignment horizontal="center"/>
      <protection hidden="1"/>
    </xf>
    <xf numFmtId="2" fontId="35" fillId="5" borderId="13" xfId="2" applyNumberFormat="1" applyFont="1" applyFill="1" applyBorder="1" applyAlignment="1" applyProtection="1">
      <alignment horizontal="center"/>
      <protection hidden="1"/>
    </xf>
    <xf numFmtId="2" fontId="35" fillId="5" borderId="12" xfId="2" applyNumberFormat="1" applyFont="1" applyFill="1" applyBorder="1" applyAlignment="1" applyProtection="1">
      <alignment horizontal="center"/>
      <protection hidden="1"/>
    </xf>
    <xf numFmtId="2" fontId="36" fillId="5" borderId="11" xfId="2" applyNumberFormat="1" applyFont="1" applyFill="1" applyBorder="1" applyAlignment="1" applyProtection="1">
      <alignment horizontal="center"/>
      <protection hidden="1"/>
    </xf>
    <xf numFmtId="2" fontId="36" fillId="5" borderId="13" xfId="2" applyNumberFormat="1" applyFont="1" applyFill="1" applyBorder="1" applyAlignment="1" applyProtection="1">
      <alignment horizontal="center"/>
      <protection hidden="1"/>
    </xf>
    <xf numFmtId="2" fontId="36" fillId="5" borderId="12" xfId="2" applyNumberFormat="1" applyFont="1" applyFill="1" applyBorder="1" applyAlignment="1" applyProtection="1">
      <alignment horizontal="center"/>
      <protection hidden="1"/>
    </xf>
    <xf numFmtId="10" fontId="36" fillId="13" borderId="11" xfId="2" applyNumberFormat="1" applyFont="1" applyFill="1" applyBorder="1" applyAlignment="1" applyProtection="1">
      <alignment horizontal="center" wrapText="1"/>
      <protection hidden="1"/>
    </xf>
    <xf numFmtId="10" fontId="36" fillId="13" borderId="13" xfId="2" applyNumberFormat="1" applyFont="1" applyFill="1" applyBorder="1" applyAlignment="1" applyProtection="1">
      <alignment horizontal="center" wrapText="1"/>
      <protection hidden="1"/>
    </xf>
    <xf numFmtId="10" fontId="36" fillId="13" borderId="12" xfId="2" applyNumberFormat="1" applyFont="1" applyFill="1" applyBorder="1" applyAlignment="1" applyProtection="1">
      <alignment horizontal="center" wrapText="1"/>
      <protection hidden="1"/>
    </xf>
    <xf numFmtId="2" fontId="35" fillId="13" borderId="11" xfId="2" applyNumberFormat="1" applyFont="1" applyFill="1" applyBorder="1" applyAlignment="1" applyProtection="1">
      <alignment horizontal="center"/>
      <protection hidden="1"/>
    </xf>
    <xf numFmtId="2" fontId="35" fillId="13" borderId="13" xfId="2" applyNumberFormat="1" applyFont="1" applyFill="1" applyBorder="1" applyAlignment="1" applyProtection="1">
      <alignment horizontal="center"/>
      <protection hidden="1"/>
    </xf>
    <xf numFmtId="2" fontId="35" fillId="13" borderId="12" xfId="2" applyNumberFormat="1" applyFont="1" applyFill="1" applyBorder="1" applyAlignment="1" applyProtection="1">
      <alignment horizontal="center"/>
      <protection hidden="1"/>
    </xf>
    <xf numFmtId="2" fontId="35" fillId="13" borderId="0" xfId="2" applyNumberFormat="1" applyFont="1" applyFill="1" applyAlignment="1" applyProtection="1">
      <alignment horizontal="left" wrapText="1"/>
      <protection hidden="1"/>
    </xf>
    <xf numFmtId="0" fontId="4" fillId="13" borderId="0" xfId="0" applyFont="1" applyFill="1"/>
    <xf numFmtId="2" fontId="35" fillId="0" borderId="9" xfId="0" applyNumberFormat="1" applyFont="1" applyBorder="1" applyAlignment="1" applyProtection="1">
      <alignment horizontal="center"/>
      <protection hidden="1"/>
    </xf>
    <xf numFmtId="0" fontId="0" fillId="0" borderId="14" xfId="0" applyBorder="1" applyAlignment="1">
      <alignment horizontal="center"/>
    </xf>
    <xf numFmtId="0" fontId="4" fillId="8" borderId="1" xfId="0" applyFont="1" applyFill="1" applyBorder="1" applyAlignment="1">
      <alignment horizontal="center"/>
    </xf>
    <xf numFmtId="2" fontId="4" fillId="8" borderId="1" xfId="0" applyNumberFormat="1" applyFont="1" applyFill="1" applyBorder="1" applyAlignment="1">
      <alignment horizontal="center"/>
    </xf>
    <xf numFmtId="0" fontId="4" fillId="8" borderId="1" xfId="0" applyFont="1" applyFill="1" applyBorder="1" applyAlignment="1">
      <alignment wrapText="1"/>
    </xf>
    <xf numFmtId="0" fontId="0" fillId="8" borderId="1" xfId="0" applyFill="1" applyBorder="1"/>
    <xf numFmtId="0" fontId="63" fillId="0" borderId="11" xfId="0" applyFont="1" applyBorder="1" applyAlignment="1">
      <alignment wrapText="1"/>
    </xf>
    <xf numFmtId="0" fontId="36" fillId="0" borderId="12" xfId="0" applyFont="1" applyBorder="1" applyAlignment="1">
      <alignment wrapText="1"/>
    </xf>
    <xf numFmtId="0" fontId="63" fillId="0" borderId="7" xfId="0" applyFont="1" applyBorder="1" applyAlignment="1">
      <alignment wrapText="1"/>
    </xf>
    <xf numFmtId="0" fontId="36" fillId="0" borderId="5" xfId="0" applyFont="1" applyBorder="1" applyAlignment="1">
      <alignment wrapText="1"/>
    </xf>
    <xf numFmtId="0" fontId="68" fillId="0" borderId="9" xfId="0" applyFont="1" applyBorder="1" applyAlignment="1">
      <alignment wrapText="1"/>
    </xf>
    <xf numFmtId="0" fontId="36" fillId="0" borderId="10" xfId="0" applyFont="1" applyBorder="1" applyAlignment="1">
      <alignment wrapText="1"/>
    </xf>
    <xf numFmtId="0" fontId="62" fillId="5" borderId="11" xfId="0" applyFont="1" applyFill="1" applyBorder="1" applyAlignment="1">
      <alignment horizontal="left"/>
    </xf>
    <xf numFmtId="0" fontId="36" fillId="0" borderId="13" xfId="0" applyFont="1" applyBorder="1"/>
    <xf numFmtId="0" fontId="36" fillId="0" borderId="12" xfId="0" applyFont="1" applyBorder="1"/>
    <xf numFmtId="0" fontId="8" fillId="0" borderId="11" xfId="0" applyFont="1" applyBorder="1" applyAlignment="1">
      <alignment wrapText="1"/>
    </xf>
    <xf numFmtId="0" fontId="8" fillId="0" borderId="13" xfId="0" applyFont="1" applyBorder="1" applyAlignment="1">
      <alignment wrapText="1"/>
    </xf>
    <xf numFmtId="0" fontId="8" fillId="0" borderId="12" xfId="0" applyFont="1" applyBorder="1" applyAlignment="1">
      <alignment wrapText="1"/>
    </xf>
    <xf numFmtId="0" fontId="62" fillId="0" borderId="11" xfId="0" applyFont="1" applyBorder="1"/>
    <xf numFmtId="0" fontId="22" fillId="0" borderId="11" xfId="0" applyFont="1" applyBorder="1" applyAlignment="1">
      <alignment wrapText="1"/>
    </xf>
    <xf numFmtId="0" fontId="62" fillId="0" borderId="1" xfId="0" applyFont="1" applyBorder="1" applyAlignment="1">
      <alignment wrapText="1"/>
    </xf>
    <xf numFmtId="0" fontId="35" fillId="0" borderId="1" xfId="0" applyFont="1" applyBorder="1" applyAlignment="1">
      <alignment wrapText="1"/>
    </xf>
    <xf numFmtId="0" fontId="62" fillId="0" borderId="11" xfId="0" applyFont="1" applyBorder="1" applyAlignment="1">
      <alignment wrapText="1"/>
    </xf>
    <xf numFmtId="0" fontId="63" fillId="0" borderId="7" xfId="0" applyFont="1" applyBorder="1" applyAlignment="1">
      <alignment horizontal="center"/>
    </xf>
    <xf numFmtId="0" fontId="63" fillId="0" borderId="9" xfId="0" applyFont="1" applyBorder="1" applyAlignment="1">
      <alignment horizontal="center"/>
    </xf>
    <xf numFmtId="2" fontId="63" fillId="0" borderId="1" xfId="0" applyNumberFormat="1" applyFont="1" applyBorder="1" applyAlignment="1">
      <alignment horizontal="center"/>
    </xf>
    <xf numFmtId="0" fontId="36" fillId="0" borderId="1" xfId="0" applyFont="1" applyBorder="1" applyAlignment="1">
      <alignment horizontal="center"/>
    </xf>
    <xf numFmtId="2" fontId="8" fillId="0" borderId="2" xfId="0" applyNumberFormat="1" applyFont="1" applyBorder="1" applyAlignment="1" applyProtection="1">
      <alignment horizontal="center"/>
      <protection hidden="1"/>
    </xf>
    <xf numFmtId="2" fontId="8" fillId="0" borderId="3" xfId="0" applyNumberFormat="1" applyFont="1" applyBorder="1" applyAlignment="1" applyProtection="1">
      <alignment horizontal="center"/>
      <protection hidden="1"/>
    </xf>
    <xf numFmtId="0" fontId="0" fillId="0" borderId="3" xfId="0" applyBorder="1" applyAlignment="1" applyProtection="1">
      <alignment horizontal="center"/>
      <protection hidden="1"/>
    </xf>
    <xf numFmtId="0" fontId="0" fillId="0" borderId="4" xfId="0" applyBorder="1" applyAlignment="1" applyProtection="1">
      <alignment horizontal="center"/>
      <protection hidden="1"/>
    </xf>
    <xf numFmtId="2" fontId="8" fillId="0" borderId="4" xfId="0" applyNumberFormat="1" applyFont="1" applyBorder="1" applyAlignment="1" applyProtection="1">
      <alignment horizontal="center"/>
      <protection hidden="1"/>
    </xf>
    <xf numFmtId="0" fontId="0" fillId="0" borderId="3" xfId="0" applyBorder="1" applyAlignment="1">
      <alignment horizontal="center"/>
    </xf>
    <xf numFmtId="0" fontId="0" fillId="0" borderId="4" xfId="0" applyBorder="1" applyAlignment="1">
      <alignment horizontal="center"/>
    </xf>
  </cellXfs>
  <cellStyles count="4">
    <cellStyle name="Normal" xfId="0" builtinId="0"/>
    <cellStyle name="Normal 2" xfId="1" xr:uid="{00000000-0005-0000-0000-000001000000}"/>
    <cellStyle name="Normal_IMP DATA" xfId="2" xr:uid="{00000000-0005-0000-0000-000002000000}"/>
    <cellStyle name="Percent" xfId="3" builtinId="5"/>
  </cellStyles>
  <dxfs count="90">
    <dxf>
      <fill>
        <patternFill patternType="none">
          <bgColor indexed="65"/>
        </patternFill>
      </fill>
    </dxf>
    <dxf>
      <font>
        <condense val="0"/>
        <extend val="0"/>
        <color rgb="FF9C0006"/>
      </font>
      <fill>
        <patternFill>
          <bgColor rgb="FFFFC7CE"/>
        </patternFill>
      </fill>
    </dxf>
    <dxf>
      <fill>
        <patternFill patternType="none">
          <bgColor indexed="65"/>
        </patternFill>
      </fill>
    </dxf>
    <dxf>
      <fill>
        <patternFill patternType="none">
          <bgColor indexed="65"/>
        </patternFill>
      </fill>
    </dxf>
    <dxf>
      <fill>
        <patternFill>
          <bgColor rgb="FFCCFFFF"/>
        </patternFill>
      </fill>
    </dxf>
    <dxf>
      <fill>
        <patternFill patternType="none">
          <bgColor indexed="65"/>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ont>
        <condense val="0"/>
        <extend val="0"/>
        <color rgb="FF9C0006"/>
      </font>
      <fill>
        <patternFill>
          <bgColor rgb="FFFFC7CE"/>
        </patternFill>
      </fill>
    </dxf>
    <dxf>
      <fill>
        <patternFill>
          <bgColor rgb="FFFF99CC"/>
        </patternFill>
      </fill>
    </dxf>
    <dxf>
      <font>
        <condense val="0"/>
        <extend val="0"/>
        <color rgb="FF9C0006"/>
      </font>
      <fill>
        <patternFill>
          <bgColor rgb="FFFFC7CE"/>
        </patternFill>
      </fill>
    </dxf>
    <dxf>
      <fill>
        <patternFill>
          <bgColor rgb="FFFF99CC"/>
        </patternFill>
      </fill>
    </dxf>
    <dxf>
      <fill>
        <patternFill patternType="none">
          <bgColor indexed="65"/>
        </patternFill>
      </fill>
    </dxf>
    <dxf>
      <fill>
        <patternFill>
          <bgColor rgb="FFFF0066"/>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FF99CC"/>
        </patternFill>
      </fill>
    </dxf>
    <dxf>
      <fill>
        <patternFill>
          <bgColor rgb="FFFF99CC"/>
        </patternFill>
      </fill>
    </dxf>
    <dxf>
      <fill>
        <patternFill>
          <bgColor rgb="FFFF99CC"/>
        </patternFill>
      </fill>
    </dxf>
    <dxf>
      <font>
        <condense val="0"/>
        <extend val="0"/>
        <color rgb="FF9C0006"/>
      </font>
      <fill>
        <patternFill>
          <bgColor rgb="FFFFC7CE"/>
        </patternFill>
      </fill>
    </dxf>
    <dxf>
      <fill>
        <patternFill>
          <bgColor rgb="FFFF99CC"/>
        </patternFill>
      </fill>
    </dxf>
    <dxf>
      <fill>
        <patternFill>
          <bgColor rgb="FFFF99CC"/>
        </patternFill>
      </fill>
    </dxf>
    <dxf>
      <fill>
        <patternFill patternType="none">
          <bgColor indexed="65"/>
        </patternFill>
      </fill>
    </dxf>
    <dxf>
      <fill>
        <patternFill patternType="none">
          <bgColor indexed="65"/>
        </patternFill>
      </fill>
    </dxf>
    <dxf>
      <fill>
        <patternFill patternType="none">
          <bgColor indexed="65"/>
        </patternFill>
      </fill>
    </dxf>
    <dxf>
      <fill>
        <patternFill>
          <bgColor rgb="FFFF0000"/>
        </patternFill>
      </fill>
    </dxf>
    <dxf>
      <font>
        <condense val="0"/>
        <extend val="0"/>
        <color rgb="FF9C0006"/>
      </font>
    </dxf>
    <dxf>
      <font>
        <condense val="0"/>
        <extend val="0"/>
        <color rgb="FF9C0006"/>
      </font>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fill>
        <patternFill>
          <bgColor rgb="FFFF0000"/>
        </patternFill>
      </fill>
    </dxf>
    <dxf>
      <fill>
        <patternFill patternType="none">
          <bgColor indexed="65"/>
        </patternFill>
      </fill>
    </dxf>
    <dxf>
      <fill>
        <patternFill patternType="none">
          <bgColor indexed="65"/>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FF99CC"/>
        </patternFill>
      </fill>
    </dxf>
    <dxf>
      <fill>
        <patternFill>
          <bgColor rgb="FFEB0B2B"/>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adeep%20Gupta\Dropbox\OFFICE%20DATA\SBI\VIKRAM%20CPC%20LHO\PROPOSALS%20CURRENTTTTTTTTTTTTTTTT%202011-12\ALPINE%20COLLEGE\ALPINE%20RELEASE%20NOV%202011\ALPINE%20COLLEGE%20TL%20RELEASE%20NOV%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ay"/>
      <sheetName val="TL INTT."/>
      <sheetName val="Dep"/>
      <sheetName val="DSCR"/>
      <sheetName val="Incom-Exp"/>
      <sheetName val="Oper.St."/>
      <sheetName val="BS-Liab."/>
      <sheetName val="BS-Assets"/>
      <sheetName val="Ratios"/>
      <sheetName val="Sensitivity"/>
      <sheetName val="BALANCING"/>
      <sheetName val="F.Fl. &amp; BEP"/>
      <sheetName val="CMA-CRA Input"/>
      <sheetName val="AICTE MAY 11"/>
      <sheetName val="SYNOPSIS"/>
      <sheetName val="FR Input"/>
      <sheetName val="Instructions"/>
      <sheetName val="Comp-CA&amp;CL"/>
      <sheetName val="BR-RNT"/>
      <sheetName val="FR1-RNT-WC"/>
      <sheetName val="FR2-RNT-WC"/>
      <sheetName val="FR3-RNT-WC"/>
      <sheetName val="FR4-RNT-WC"/>
      <sheetName val="FR5-RNT-WC"/>
      <sheetName val="FR6-RNT-TL"/>
      <sheetName val="FR7-RNT-TL"/>
      <sheetName val="FR8-RNT-TL"/>
      <sheetName val="FR9-RNT-TL"/>
      <sheetName val="FR10-RNT-T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2">
          <cell r="U12" t="str">
            <v>JANUARY</v>
          </cell>
        </row>
        <row r="13">
          <cell r="U13" t="str">
            <v>FEBRUARY</v>
          </cell>
        </row>
        <row r="14">
          <cell r="U14" t="str">
            <v>MARCH</v>
          </cell>
        </row>
        <row r="15">
          <cell r="U15" t="str">
            <v>APRIL</v>
          </cell>
        </row>
        <row r="16">
          <cell r="U16" t="str">
            <v>MAY</v>
          </cell>
        </row>
        <row r="17">
          <cell r="U17" t="str">
            <v>JUNE</v>
          </cell>
        </row>
        <row r="18">
          <cell r="U18" t="str">
            <v>JULY</v>
          </cell>
        </row>
        <row r="19">
          <cell r="U19" t="str">
            <v>AUGUST</v>
          </cell>
        </row>
        <row r="20">
          <cell r="U20" t="str">
            <v>SEPTEMBER</v>
          </cell>
        </row>
        <row r="21">
          <cell r="U21" t="str">
            <v>OCTOBER</v>
          </cell>
        </row>
        <row r="22">
          <cell r="U22" t="str">
            <v>NOVEMBER</v>
          </cell>
        </row>
        <row r="23">
          <cell r="U23" t="str">
            <v>DECEMBER</v>
          </cell>
        </row>
      </sheetData>
      <sheetData sheetId="13" refreshError="1"/>
      <sheetData sheetId="14" refreshError="1"/>
      <sheetData sheetId="15" refreshError="1"/>
      <sheetData sheetId="16" refreshError="1"/>
      <sheetData sheetId="17" refreshError="1"/>
      <sheetData sheetId="18" refreshError="1">
        <row r="766">
          <cell r="L766" t="str">
            <v>Afghanistan</v>
          </cell>
          <cell r="M766" t="str">
            <v>Off Credit/ Restricted &amp; under Caution</v>
          </cell>
        </row>
        <row r="767">
          <cell r="L767" t="str">
            <v>Albania</v>
          </cell>
          <cell r="M767" t="str">
            <v>Very High Risk &amp; under Caution</v>
          </cell>
        </row>
        <row r="768">
          <cell r="L768" t="str">
            <v>Algeria</v>
          </cell>
          <cell r="M768" t="str">
            <v>High Risk &amp; under Caution</v>
          </cell>
        </row>
        <row r="769">
          <cell r="L769" t="str">
            <v>Angola</v>
          </cell>
          <cell r="M769" t="str">
            <v>Very High Risk &amp; under Caution</v>
          </cell>
        </row>
        <row r="770">
          <cell r="L770" t="str">
            <v>Antigua &amp; Barbuda</v>
          </cell>
          <cell r="M770" t="str">
            <v>Medium Risk but under Caution</v>
          </cell>
        </row>
        <row r="771">
          <cell r="L771" t="str">
            <v>Argentina</v>
          </cell>
          <cell r="M771" t="str">
            <v>High Risk &amp; under Caution</v>
          </cell>
        </row>
        <row r="772">
          <cell r="L772" t="str">
            <v>Armenia</v>
          </cell>
          <cell r="M772" t="str">
            <v>High Risk &amp; under Caution</v>
          </cell>
        </row>
        <row r="773">
          <cell r="L773" t="str">
            <v>Australia</v>
          </cell>
          <cell r="M773" t="str">
            <v>Insignificant Risk</v>
          </cell>
        </row>
        <row r="774">
          <cell r="L774" t="str">
            <v>Austria</v>
          </cell>
          <cell r="M774" t="str">
            <v>Insignificant Risk</v>
          </cell>
        </row>
        <row r="775">
          <cell r="L775" t="str">
            <v>Azerbaijan</v>
          </cell>
          <cell r="M775" t="str">
            <v>High Risk &amp; under Caution</v>
          </cell>
        </row>
        <row r="776">
          <cell r="L776" t="str">
            <v>Bahamas</v>
          </cell>
          <cell r="M776" t="str">
            <v>Medium Risk</v>
          </cell>
        </row>
        <row r="777">
          <cell r="L777" t="str">
            <v>Bahrain</v>
          </cell>
          <cell r="M777" t="str">
            <v>Medium Risk</v>
          </cell>
        </row>
        <row r="778">
          <cell r="L778" t="str">
            <v>Bangladesh</v>
          </cell>
          <cell r="M778" t="str">
            <v>Very High Risk &amp; under Caution</v>
          </cell>
        </row>
        <row r="779">
          <cell r="L779" t="str">
            <v>Barbados</v>
          </cell>
          <cell r="M779" t="str">
            <v>Medium Risk</v>
          </cell>
        </row>
        <row r="780">
          <cell r="L780" t="str">
            <v>Belarus</v>
          </cell>
          <cell r="M780" t="str">
            <v>Off Credit/ Restricted &amp; under Caution</v>
          </cell>
        </row>
        <row r="781">
          <cell r="L781" t="str">
            <v>Belgium</v>
          </cell>
          <cell r="M781" t="str">
            <v>Insignificant Risk</v>
          </cell>
        </row>
        <row r="782">
          <cell r="L782" t="str">
            <v>Belize</v>
          </cell>
          <cell r="M782" t="str">
            <v>Very High Risk &amp; under Caution</v>
          </cell>
        </row>
        <row r="783">
          <cell r="L783" t="str">
            <v>Benin</v>
          </cell>
          <cell r="M783" t="str">
            <v>Very High Risk &amp; under Caution</v>
          </cell>
        </row>
        <row r="784">
          <cell r="L784" t="str">
            <v>Bermuda</v>
          </cell>
          <cell r="M784" t="str">
            <v>Low Risk</v>
          </cell>
        </row>
        <row r="785">
          <cell r="L785" t="str">
            <v>Bhutan (Not under caution)</v>
          </cell>
          <cell r="M785" t="str">
            <v>Very High Risk &amp; under Caution</v>
          </cell>
        </row>
        <row r="786">
          <cell r="L786" t="str">
            <v>Bolivia</v>
          </cell>
          <cell r="M786" t="str">
            <v>Very High Risk &amp; under Caution</v>
          </cell>
        </row>
        <row r="787">
          <cell r="L787" t="str">
            <v xml:space="preserve">Bosnia Herzegovina </v>
          </cell>
          <cell r="M787" t="str">
            <v>Very High Risk &amp; under Caution</v>
          </cell>
        </row>
        <row r="788">
          <cell r="L788" t="str">
            <v>Botswana</v>
          </cell>
          <cell r="M788" t="str">
            <v>Medium Risk</v>
          </cell>
        </row>
        <row r="789">
          <cell r="L789" t="str">
            <v>Brazil</v>
          </cell>
          <cell r="M789" t="str">
            <v>Medium Risk but under Caution</v>
          </cell>
        </row>
        <row r="790">
          <cell r="L790" t="str">
            <v>Brunei</v>
          </cell>
          <cell r="M790" t="str">
            <v>Medium Risk</v>
          </cell>
        </row>
        <row r="791">
          <cell r="L791" t="str">
            <v>Bulgaria</v>
          </cell>
          <cell r="M791" t="str">
            <v>Medium Risk but under Caution</v>
          </cell>
        </row>
        <row r="792">
          <cell r="L792" t="str">
            <v>Burkina Faso</v>
          </cell>
          <cell r="M792" t="str">
            <v>Off Credit/ Restricted &amp; under Caution</v>
          </cell>
        </row>
        <row r="793">
          <cell r="L793" t="str">
            <v>Burundi</v>
          </cell>
          <cell r="M793" t="str">
            <v>Off Credit/ Restricted &amp; under Caution</v>
          </cell>
        </row>
        <row r="794">
          <cell r="L794" t="str">
            <v>Cambodia</v>
          </cell>
          <cell r="M794" t="str">
            <v>Off Credit/ Restricted &amp; under Caution</v>
          </cell>
        </row>
        <row r="795">
          <cell r="L795" t="str">
            <v>Cameroon</v>
          </cell>
          <cell r="M795" t="str">
            <v>Very High Risk &amp; under Caution</v>
          </cell>
        </row>
        <row r="796">
          <cell r="L796" t="str">
            <v>Canada</v>
          </cell>
          <cell r="M796" t="str">
            <v>Insignificant Risk</v>
          </cell>
        </row>
        <row r="797">
          <cell r="L797" t="str">
            <v>Cape Verde</v>
          </cell>
          <cell r="M797" t="str">
            <v>Very High Risk &amp; under Caution</v>
          </cell>
        </row>
        <row r="798">
          <cell r="L798" t="str">
            <v>Central African Republic</v>
          </cell>
          <cell r="M798" t="str">
            <v>Off Credit/ Restricted &amp; under Caution</v>
          </cell>
        </row>
        <row r="799">
          <cell r="L799" t="str">
            <v>Chad</v>
          </cell>
          <cell r="M799" t="str">
            <v>Off Credit/ Restricted &amp; under Caution</v>
          </cell>
        </row>
        <row r="800">
          <cell r="L800" t="str">
            <v>Chile</v>
          </cell>
          <cell r="M800" t="str">
            <v>Medium Risk</v>
          </cell>
        </row>
        <row r="801">
          <cell r="L801" t="str">
            <v>China including Maccau</v>
          </cell>
          <cell r="M801" t="str">
            <v>Medium Risk</v>
          </cell>
        </row>
        <row r="802">
          <cell r="L802" t="str">
            <v>Colombia</v>
          </cell>
          <cell r="M802" t="str">
            <v>Medium Risk but under Caution</v>
          </cell>
        </row>
        <row r="803">
          <cell r="L803" t="str">
            <v>Comoros</v>
          </cell>
          <cell r="M803" t="str">
            <v>Off Credit/ Restricted &amp; under Caution</v>
          </cell>
        </row>
        <row r="804">
          <cell r="L804" t="str">
            <v>Congo</v>
          </cell>
          <cell r="M804" t="str">
            <v>Off Credit/ Restricted &amp; under Caution</v>
          </cell>
        </row>
        <row r="805">
          <cell r="L805" t="str">
            <v>Costa Rica</v>
          </cell>
          <cell r="M805" t="str">
            <v>Medium Risk but under Caution</v>
          </cell>
        </row>
        <row r="806">
          <cell r="L806" t="str">
            <v>Cote d'lvoire</v>
          </cell>
          <cell r="M806" t="str">
            <v>Off Credit/ Restricted &amp; under Caution</v>
          </cell>
        </row>
        <row r="807">
          <cell r="L807" t="str">
            <v>Croatia</v>
          </cell>
          <cell r="M807" t="str">
            <v>Medium Risk but under Caution</v>
          </cell>
        </row>
        <row r="808">
          <cell r="L808" t="str">
            <v>Cuba</v>
          </cell>
          <cell r="M808" t="str">
            <v>Off Credit/ Restricted &amp; under Caution</v>
          </cell>
        </row>
        <row r="809">
          <cell r="L809" t="str">
            <v>Cyprus</v>
          </cell>
          <cell r="M809" t="str">
            <v>Medium Risk</v>
          </cell>
        </row>
        <row r="810">
          <cell r="L810" t="str">
            <v>Czech Republic</v>
          </cell>
          <cell r="M810" t="str">
            <v>Medium Risk</v>
          </cell>
        </row>
        <row r="811">
          <cell r="L811" t="str">
            <v>Dem. Rep. of Congo</v>
          </cell>
          <cell r="M811" t="str">
            <v>Off Credit/ Restricted &amp; under Caution</v>
          </cell>
        </row>
        <row r="812">
          <cell r="L812" t="str">
            <v>Denmark</v>
          </cell>
          <cell r="M812" t="str">
            <v>Insignificant Risk</v>
          </cell>
        </row>
        <row r="813">
          <cell r="L813" t="str">
            <v>Djibouti</v>
          </cell>
          <cell r="M813" t="str">
            <v>Very High Risk &amp; under Caution</v>
          </cell>
        </row>
        <row r="814">
          <cell r="L814" t="str">
            <v>Dominica</v>
          </cell>
          <cell r="M814" t="str">
            <v>High Risk &amp; under Caution</v>
          </cell>
        </row>
        <row r="815">
          <cell r="L815" t="str">
            <v>Dominican Republic</v>
          </cell>
          <cell r="M815" t="str">
            <v>High Risk &amp; under Caution</v>
          </cell>
        </row>
        <row r="816">
          <cell r="L816" t="str">
            <v>East Timor</v>
          </cell>
          <cell r="M816" t="str">
            <v>Off Credit/ Restricted &amp; under Caution</v>
          </cell>
        </row>
        <row r="817">
          <cell r="L817" t="str">
            <v>Ecuador</v>
          </cell>
          <cell r="M817" t="str">
            <v>Very High Risk &amp; under Caution</v>
          </cell>
        </row>
        <row r="818">
          <cell r="L818" t="str">
            <v>Egypt</v>
          </cell>
          <cell r="M818" t="str">
            <v>Medium Risk but under Caution</v>
          </cell>
        </row>
        <row r="819">
          <cell r="L819" t="str">
            <v>El Salvador</v>
          </cell>
          <cell r="M819" t="str">
            <v>High Risk &amp; under Caution</v>
          </cell>
        </row>
        <row r="820">
          <cell r="L820" t="str">
            <v xml:space="preserve">Equatorial Guinea </v>
          </cell>
          <cell r="M820" t="str">
            <v>High Risk &amp; under Caution</v>
          </cell>
        </row>
        <row r="821">
          <cell r="L821" t="str">
            <v>Eritrea</v>
          </cell>
          <cell r="M821" t="str">
            <v>Off Credit/ Restricted &amp; under Caution</v>
          </cell>
        </row>
        <row r="822">
          <cell r="L822" t="str">
            <v>Estonia</v>
          </cell>
          <cell r="M822" t="str">
            <v>Medium Risk</v>
          </cell>
        </row>
        <row r="823">
          <cell r="L823" t="str">
            <v>Ethiopia</v>
          </cell>
          <cell r="M823" t="str">
            <v>Off Credit/ Restricted &amp; under Caution</v>
          </cell>
        </row>
        <row r="824">
          <cell r="L824" t="str">
            <v>Fiji</v>
          </cell>
          <cell r="M824" t="str">
            <v>High Risk &amp; under Caution</v>
          </cell>
        </row>
        <row r="825">
          <cell r="L825" t="str">
            <v>Finland</v>
          </cell>
          <cell r="M825" t="str">
            <v>Insignificant Risk</v>
          </cell>
        </row>
        <row r="826">
          <cell r="L826" t="str">
            <v>France</v>
          </cell>
          <cell r="M826" t="str">
            <v>Insignificant Risk</v>
          </cell>
        </row>
        <row r="827">
          <cell r="L827" t="str">
            <v>Gabon</v>
          </cell>
          <cell r="M827" t="str">
            <v>Very High Risk &amp; under Caution</v>
          </cell>
        </row>
        <row r="828">
          <cell r="L828" t="str">
            <v>Gambia</v>
          </cell>
          <cell r="M828" t="str">
            <v>Off Credit/ Restricted &amp; under Caution</v>
          </cell>
        </row>
        <row r="829">
          <cell r="L829" t="str">
            <v>Georgia</v>
          </cell>
          <cell r="M829" t="str">
            <v>Very High Risk &amp; under Caution</v>
          </cell>
        </row>
        <row r="830">
          <cell r="L830" t="str">
            <v>Germany</v>
          </cell>
          <cell r="M830" t="str">
            <v>Insignificant Risk</v>
          </cell>
        </row>
        <row r="831">
          <cell r="L831" t="str">
            <v>Ghana</v>
          </cell>
          <cell r="M831" t="str">
            <v>High Risk &amp; under Caution</v>
          </cell>
        </row>
        <row r="832">
          <cell r="L832" t="str">
            <v>Greece</v>
          </cell>
          <cell r="M832" t="str">
            <v>Low Risk</v>
          </cell>
        </row>
        <row r="833">
          <cell r="L833" t="str">
            <v>Grenada</v>
          </cell>
          <cell r="M833" t="str">
            <v>Very High Risk &amp; under Caution</v>
          </cell>
        </row>
        <row r="834">
          <cell r="L834" t="str">
            <v>Guatemala</v>
          </cell>
          <cell r="M834" t="str">
            <v>High Risk &amp; under Caution</v>
          </cell>
        </row>
        <row r="835">
          <cell r="L835" t="str">
            <v>Guinea</v>
          </cell>
          <cell r="M835" t="str">
            <v>Off Credit/ Restricted &amp; under Caution</v>
          </cell>
        </row>
        <row r="836">
          <cell r="L836" t="str">
            <v>Guinea-Bissau</v>
          </cell>
          <cell r="M836" t="str">
            <v>Off Credit/ Restricted &amp; under Caution</v>
          </cell>
        </row>
        <row r="837">
          <cell r="L837" t="str">
            <v>Guyana</v>
          </cell>
          <cell r="M837" t="str">
            <v>Very High Risk &amp; under Caution</v>
          </cell>
        </row>
        <row r="838">
          <cell r="L838" t="str">
            <v>Haiti</v>
          </cell>
          <cell r="M838" t="str">
            <v>Off Credit/ Restricted &amp; under Caution</v>
          </cell>
        </row>
        <row r="839">
          <cell r="L839" t="str">
            <v>Honduras</v>
          </cell>
          <cell r="M839" t="str">
            <v>Very High Risk &amp; under Caution</v>
          </cell>
        </row>
        <row r="840">
          <cell r="L840" t="str">
            <v>Hongkong</v>
          </cell>
          <cell r="M840" t="str">
            <v>Low Risk</v>
          </cell>
        </row>
        <row r="841">
          <cell r="L841" t="str">
            <v>Hungary</v>
          </cell>
          <cell r="M841" t="str">
            <v>Medium Risk</v>
          </cell>
        </row>
        <row r="842">
          <cell r="L842" t="str">
            <v>Iceland</v>
          </cell>
          <cell r="M842" t="str">
            <v>Low Risk</v>
          </cell>
        </row>
        <row r="843">
          <cell r="L843" t="str">
            <v>Indonesia</v>
          </cell>
          <cell r="M843" t="str">
            <v>High Risk &amp; under Caution</v>
          </cell>
        </row>
        <row r="844">
          <cell r="L844" t="str">
            <v>Iran</v>
          </cell>
          <cell r="M844" t="str">
            <v>High Risk &amp; under Caution</v>
          </cell>
        </row>
        <row r="845">
          <cell r="L845" t="str">
            <v>Iraq</v>
          </cell>
          <cell r="M845" t="str">
            <v>Off Credit/ Restricted &amp; under Caution</v>
          </cell>
        </row>
        <row r="846">
          <cell r="L846" t="str">
            <v>Ireland</v>
          </cell>
          <cell r="M846" t="str">
            <v>Insignificant Risk</v>
          </cell>
        </row>
        <row r="847">
          <cell r="L847" t="str">
            <v>Israel</v>
          </cell>
          <cell r="M847" t="str">
            <v>Medium Risk</v>
          </cell>
        </row>
        <row r="848">
          <cell r="L848" t="str">
            <v>Italy</v>
          </cell>
          <cell r="M848" t="str">
            <v>Low Risk</v>
          </cell>
        </row>
        <row r="849">
          <cell r="L849" t="str">
            <v>Jamaica</v>
          </cell>
          <cell r="M849" t="str">
            <v>High Risk &amp; under Caution</v>
          </cell>
        </row>
        <row r="850">
          <cell r="L850" t="str">
            <v>Japan</v>
          </cell>
          <cell r="M850" t="str">
            <v>Low Risk</v>
          </cell>
        </row>
        <row r="851">
          <cell r="L851" t="str">
            <v>Jordan</v>
          </cell>
          <cell r="M851" t="str">
            <v>High Risk &amp; under Caution</v>
          </cell>
        </row>
        <row r="852">
          <cell r="L852" t="str">
            <v>Kazakhastan</v>
          </cell>
          <cell r="M852" t="str">
            <v>Medium Risk but under Caution</v>
          </cell>
        </row>
        <row r="853">
          <cell r="L853" t="str">
            <v>Kenya</v>
          </cell>
          <cell r="M853" t="str">
            <v>Very High Risk &amp; under Caution</v>
          </cell>
        </row>
        <row r="854">
          <cell r="L854" t="str">
            <v>Kiribati</v>
          </cell>
          <cell r="M854" t="str">
            <v>Very High Risk &amp; under Caution</v>
          </cell>
        </row>
        <row r="855">
          <cell r="L855" t="str">
            <v>Korea, North</v>
          </cell>
          <cell r="M855" t="str">
            <v>Off Credit/ Restricted &amp; under Caution</v>
          </cell>
        </row>
        <row r="856">
          <cell r="L856" t="str">
            <v>Korea, Republic of (South Korea)</v>
          </cell>
          <cell r="M856" t="str">
            <v>Medium Risk</v>
          </cell>
        </row>
        <row r="857">
          <cell r="L857" t="str">
            <v>Kuwait</v>
          </cell>
          <cell r="M857" t="str">
            <v>Medium Risk</v>
          </cell>
        </row>
        <row r="858">
          <cell r="L858" t="str">
            <v>Kyrgyzstan</v>
          </cell>
          <cell r="M858" t="str">
            <v>Off Credit/ Restricted &amp; under Caution</v>
          </cell>
        </row>
        <row r="859">
          <cell r="L859" t="str">
            <v>Laos</v>
          </cell>
          <cell r="M859" t="str">
            <v>Off Credit/ Restricted &amp; under Caution</v>
          </cell>
        </row>
        <row r="860">
          <cell r="L860" t="str">
            <v>Latvia</v>
          </cell>
          <cell r="M860" t="str">
            <v>Medium Risk</v>
          </cell>
        </row>
        <row r="861">
          <cell r="L861" t="str">
            <v>Lebanon</v>
          </cell>
          <cell r="M861" t="str">
            <v>Very High Risk &amp; under Caution</v>
          </cell>
        </row>
        <row r="862">
          <cell r="L862" t="str">
            <v>Lesotho</v>
          </cell>
          <cell r="M862" t="str">
            <v>High Risk &amp; under Caution</v>
          </cell>
        </row>
        <row r="863">
          <cell r="L863" t="str">
            <v>Liberia</v>
          </cell>
          <cell r="M863" t="str">
            <v>Off Credit/ Restricted &amp; under Caution</v>
          </cell>
        </row>
        <row r="864">
          <cell r="L864" t="str">
            <v>Libya</v>
          </cell>
          <cell r="M864" t="str">
            <v>Very High Risk &amp; under Caution</v>
          </cell>
        </row>
        <row r="865">
          <cell r="L865" t="str">
            <v>Lithuania</v>
          </cell>
          <cell r="M865" t="str">
            <v>Medium Risk</v>
          </cell>
        </row>
        <row r="866">
          <cell r="L866" t="str">
            <v>Luxembourg</v>
          </cell>
          <cell r="M866" t="str">
            <v>Insignificant Risk</v>
          </cell>
        </row>
        <row r="867">
          <cell r="L867" t="str">
            <v>Macedonia</v>
          </cell>
          <cell r="M867" t="str">
            <v>High Risk &amp; under Caution</v>
          </cell>
        </row>
        <row r="868">
          <cell r="L868" t="str">
            <v>Madagascar</v>
          </cell>
          <cell r="M868" t="str">
            <v>Off Credit/ Restricted &amp; under Caution</v>
          </cell>
        </row>
        <row r="869">
          <cell r="L869" t="str">
            <v>Malawi</v>
          </cell>
          <cell r="M869" t="str">
            <v>Off Credit/ Restricted &amp; under Caution</v>
          </cell>
        </row>
        <row r="870">
          <cell r="L870" t="str">
            <v>Malaysia</v>
          </cell>
          <cell r="M870" t="str">
            <v>Medium Risk</v>
          </cell>
        </row>
        <row r="871">
          <cell r="L871" t="str">
            <v>Maldives</v>
          </cell>
          <cell r="M871" t="str">
            <v>High Risk but not under Caution</v>
          </cell>
        </row>
        <row r="872">
          <cell r="L872" t="str">
            <v>Mali</v>
          </cell>
          <cell r="M872" t="str">
            <v>Off Credit/ Restricted &amp; under Caution</v>
          </cell>
        </row>
        <row r="873">
          <cell r="L873" t="str">
            <v>Malta</v>
          </cell>
          <cell r="M873" t="str">
            <v>Low Risk</v>
          </cell>
        </row>
        <row r="874">
          <cell r="L874" t="str">
            <v>Marshall Islands</v>
          </cell>
          <cell r="M874" t="str">
            <v>Off Credit/ Restricted &amp; under Caution</v>
          </cell>
        </row>
        <row r="875">
          <cell r="L875" t="str">
            <v>Mauritania</v>
          </cell>
          <cell r="M875" t="str">
            <v>Off Credit/ Restricted &amp; under Caution</v>
          </cell>
        </row>
        <row r="876">
          <cell r="L876" t="str">
            <v>Mauritius</v>
          </cell>
          <cell r="M876" t="str">
            <v>Medium Risk</v>
          </cell>
        </row>
        <row r="877">
          <cell r="L877" t="str">
            <v>Mexico</v>
          </cell>
          <cell r="M877" t="str">
            <v>Medium Risk</v>
          </cell>
        </row>
        <row r="878">
          <cell r="L878" t="str">
            <v>Micronesia (Fed. States)</v>
          </cell>
          <cell r="M878" t="str">
            <v>Off Credit/ Restricted &amp; under Caution</v>
          </cell>
        </row>
        <row r="879">
          <cell r="L879" t="str">
            <v>Moldova</v>
          </cell>
          <cell r="M879" t="str">
            <v>Off Credit/ Restricted &amp; under Caution</v>
          </cell>
        </row>
        <row r="880">
          <cell r="L880" t="str">
            <v>Mongolia</v>
          </cell>
          <cell r="M880" t="str">
            <v>Very High Risk &amp; under Caution</v>
          </cell>
        </row>
        <row r="881">
          <cell r="L881" t="str">
            <v>Montenegro</v>
          </cell>
          <cell r="M881" t="str">
            <v>Very High Risk &amp; under Caution</v>
          </cell>
        </row>
        <row r="882">
          <cell r="L882" t="str">
            <v>Morocco</v>
          </cell>
          <cell r="M882" t="str">
            <v>Medium Risk but under Caution</v>
          </cell>
        </row>
        <row r="883">
          <cell r="L883" t="str">
            <v>Mozambique</v>
          </cell>
          <cell r="M883" t="str">
            <v>Very High Risk &amp; under Caution</v>
          </cell>
        </row>
        <row r="884">
          <cell r="L884" t="str">
            <v>Myanmar</v>
          </cell>
          <cell r="M884" t="str">
            <v>Off Credit/ Restricted &amp; under Caution</v>
          </cell>
        </row>
        <row r="885">
          <cell r="L885" t="str">
            <v>Namibia</v>
          </cell>
          <cell r="M885" t="str">
            <v>Very High Risk &amp; under Caution</v>
          </cell>
        </row>
        <row r="886">
          <cell r="L886" t="str">
            <v>Nepal</v>
          </cell>
          <cell r="M886" t="str">
            <v>Off Credit/ Restricted &amp; under Caution</v>
          </cell>
        </row>
        <row r="887">
          <cell r="L887" t="str">
            <v>Netherlands</v>
          </cell>
          <cell r="M887" t="str">
            <v>Insignificant Risk</v>
          </cell>
        </row>
        <row r="888">
          <cell r="L888" t="str">
            <v>New Caledonia</v>
          </cell>
          <cell r="M888" t="str">
            <v>High Risk &amp; under Caution</v>
          </cell>
        </row>
        <row r="889">
          <cell r="L889" t="str">
            <v>New Zealand</v>
          </cell>
          <cell r="M889" t="str">
            <v>Low Risk</v>
          </cell>
        </row>
        <row r="890">
          <cell r="L890" t="str">
            <v>Nicaragua</v>
          </cell>
          <cell r="M890" t="str">
            <v>Very High Risk &amp; under Caution</v>
          </cell>
        </row>
        <row r="891">
          <cell r="L891" t="str">
            <v>Niger</v>
          </cell>
          <cell r="M891" t="str">
            <v>Off Credit/ Restricted &amp; under Caution</v>
          </cell>
        </row>
        <row r="892">
          <cell r="L892" t="str">
            <v>Nigeria</v>
          </cell>
          <cell r="M892" t="str">
            <v>High Risk &amp; under Caution</v>
          </cell>
        </row>
        <row r="893">
          <cell r="L893" t="str">
            <v>Norway</v>
          </cell>
          <cell r="M893" t="str">
            <v>Insignificant Risk</v>
          </cell>
        </row>
        <row r="894">
          <cell r="L894" t="str">
            <v>Oman</v>
          </cell>
          <cell r="M894" t="str">
            <v>Medium Risk</v>
          </cell>
        </row>
        <row r="895">
          <cell r="L895" t="str">
            <v>Pakistan</v>
          </cell>
          <cell r="M895" t="str">
            <v>High Risk &amp; under Caution</v>
          </cell>
        </row>
        <row r="896">
          <cell r="L896" t="str">
            <v>Panama</v>
          </cell>
          <cell r="M896" t="str">
            <v>Medium Risk but under Caution</v>
          </cell>
        </row>
        <row r="897">
          <cell r="L897" t="str">
            <v>Papua New Guinea</v>
          </cell>
          <cell r="M897" t="str">
            <v>Very High Risk &amp; under Caution</v>
          </cell>
        </row>
        <row r="898">
          <cell r="L898" t="str">
            <v>Paraguay</v>
          </cell>
          <cell r="M898" t="str">
            <v>Very High Risk &amp; under Caution</v>
          </cell>
        </row>
        <row r="899">
          <cell r="L899" t="str">
            <v>Peru</v>
          </cell>
          <cell r="M899" t="str">
            <v>High Risk &amp; under Caution</v>
          </cell>
        </row>
        <row r="900">
          <cell r="L900" t="str">
            <v>Philippines</v>
          </cell>
          <cell r="M900" t="str">
            <v>High Risk &amp; under Caution</v>
          </cell>
        </row>
        <row r="901">
          <cell r="L901" t="str">
            <v>Poland</v>
          </cell>
          <cell r="M901" t="str">
            <v>Medium Risk</v>
          </cell>
        </row>
        <row r="902">
          <cell r="L902" t="str">
            <v>Portugal</v>
          </cell>
          <cell r="M902" t="str">
            <v>Low Risk</v>
          </cell>
        </row>
        <row r="903">
          <cell r="L903" t="str">
            <v>Qatar</v>
          </cell>
          <cell r="M903" t="str">
            <v>Low Risk</v>
          </cell>
        </row>
        <row r="904">
          <cell r="L904" t="str">
            <v>Romania</v>
          </cell>
          <cell r="M904" t="str">
            <v>Medium Risk but under Caution</v>
          </cell>
        </row>
        <row r="905">
          <cell r="L905" t="str">
            <v>Russia</v>
          </cell>
          <cell r="M905" t="str">
            <v>Medium Risk but under Caution</v>
          </cell>
        </row>
        <row r="906">
          <cell r="L906" t="str">
            <v>Rwanda</v>
          </cell>
          <cell r="M906" t="str">
            <v>Off Credit/ Restricted &amp; under Caution</v>
          </cell>
        </row>
        <row r="907">
          <cell r="L907" t="str">
            <v>Samoa</v>
          </cell>
          <cell r="M907" t="str">
            <v>High Risk &amp; under Caution</v>
          </cell>
        </row>
        <row r="908">
          <cell r="L908" t="str">
            <v>Sao Tome &amp; Principe</v>
          </cell>
          <cell r="M908" t="str">
            <v>Off Credit/ Restricted &amp; under Caution</v>
          </cell>
        </row>
        <row r="909">
          <cell r="L909" t="str">
            <v>Saudi Arabia</v>
          </cell>
          <cell r="M909" t="str">
            <v>Medium Risk</v>
          </cell>
        </row>
        <row r="910">
          <cell r="L910" t="str">
            <v>Senegal</v>
          </cell>
          <cell r="M910" t="str">
            <v>High Risk &amp; under Caution</v>
          </cell>
        </row>
        <row r="911">
          <cell r="L911" t="str">
            <v>Serbia</v>
          </cell>
          <cell r="M911" t="str">
            <v>High Risk &amp; under Caution</v>
          </cell>
        </row>
        <row r="912">
          <cell r="L912" t="str">
            <v>Seychelles</v>
          </cell>
          <cell r="M912" t="str">
            <v>Very High Risk &amp; under Caution</v>
          </cell>
        </row>
        <row r="913">
          <cell r="L913" t="str">
            <v>Sierra Leone</v>
          </cell>
          <cell r="M913" t="str">
            <v>Off Credit/ Restricted &amp; under Caution</v>
          </cell>
        </row>
        <row r="914">
          <cell r="L914" t="str">
            <v>Singapore</v>
          </cell>
          <cell r="M914" t="str">
            <v>Low Risk</v>
          </cell>
        </row>
        <row r="915">
          <cell r="L915" t="str">
            <v>Slovakia</v>
          </cell>
          <cell r="M915" t="str">
            <v>Medium Risk</v>
          </cell>
        </row>
        <row r="916">
          <cell r="L916" t="str">
            <v>Slovenia</v>
          </cell>
          <cell r="M916" t="str">
            <v>Low Risk</v>
          </cell>
        </row>
        <row r="917">
          <cell r="L917" t="str">
            <v>Solomon Islands</v>
          </cell>
          <cell r="M917" t="str">
            <v>Off Credit/ Restricted &amp; under Caution</v>
          </cell>
        </row>
        <row r="918">
          <cell r="L918" t="str">
            <v>Somalia</v>
          </cell>
          <cell r="M918" t="str">
            <v>Off Credit/ Restricted &amp; under Caution</v>
          </cell>
        </row>
        <row r="919">
          <cell r="L919" t="str">
            <v>South Africa</v>
          </cell>
          <cell r="M919" t="str">
            <v>Medium Risk</v>
          </cell>
        </row>
        <row r="920">
          <cell r="L920" t="str">
            <v>Spain</v>
          </cell>
          <cell r="M920" t="str">
            <v>Low Risk</v>
          </cell>
        </row>
        <row r="921">
          <cell r="L921" t="str">
            <v>Sri Lanka (Not Under Caution)</v>
          </cell>
          <cell r="M921" t="str">
            <v>Very High Risk &amp; under Caution</v>
          </cell>
        </row>
        <row r="922">
          <cell r="L922" t="str">
            <v>St. Lucia</v>
          </cell>
          <cell r="M922" t="str">
            <v>High Risk &amp; under Caution</v>
          </cell>
        </row>
        <row r="923">
          <cell r="L923" t="str">
            <v>St. Vincent &amp; Grenadines</v>
          </cell>
          <cell r="M923" t="str">
            <v>High Risk &amp; under Caution</v>
          </cell>
        </row>
        <row r="924">
          <cell r="L924" t="str">
            <v>Sudan</v>
          </cell>
          <cell r="M924" t="str">
            <v>Off Credit/ Restricted &amp; under Caution</v>
          </cell>
        </row>
        <row r="925">
          <cell r="L925" t="str">
            <v>Suriname</v>
          </cell>
          <cell r="M925" t="str">
            <v>Very High Risk &amp; under Caution</v>
          </cell>
        </row>
        <row r="926">
          <cell r="L926" t="str">
            <v>Swaziland</v>
          </cell>
          <cell r="M926" t="str">
            <v>Very High Risk &amp; under Caution</v>
          </cell>
        </row>
        <row r="927">
          <cell r="L927" t="str">
            <v>Sweden</v>
          </cell>
          <cell r="M927" t="str">
            <v>Insignificant Risk</v>
          </cell>
        </row>
        <row r="928">
          <cell r="L928" t="str">
            <v>Switzerland</v>
          </cell>
          <cell r="M928" t="str">
            <v>Insignificant Risk</v>
          </cell>
        </row>
        <row r="929">
          <cell r="L929" t="str">
            <v>Syria</v>
          </cell>
          <cell r="M929" t="str">
            <v>Very High Risk &amp; under Caution</v>
          </cell>
        </row>
        <row r="930">
          <cell r="L930" t="str">
            <v>Taiwan</v>
          </cell>
          <cell r="M930" t="str">
            <v>Low Risk</v>
          </cell>
        </row>
        <row r="931">
          <cell r="L931" t="str">
            <v>Tajikistan</v>
          </cell>
          <cell r="M931" t="str">
            <v>Off Credit/ Restricted &amp; under Caution</v>
          </cell>
        </row>
        <row r="932">
          <cell r="L932" t="str">
            <v>Tanzania</v>
          </cell>
          <cell r="M932" t="str">
            <v>Very High Risk &amp; under Caution</v>
          </cell>
        </row>
        <row r="933">
          <cell r="L933" t="str">
            <v>Thailand</v>
          </cell>
          <cell r="M933" t="str">
            <v>Medium Risk but under Caution</v>
          </cell>
        </row>
        <row r="934">
          <cell r="L934" t="str">
            <v>Togo</v>
          </cell>
          <cell r="M934" t="str">
            <v>Off Credit/ Restricted &amp; under Caution</v>
          </cell>
        </row>
        <row r="935">
          <cell r="L935" t="str">
            <v>Tonga</v>
          </cell>
          <cell r="M935" t="str">
            <v>Off Credit/ Restricted &amp; under Caution</v>
          </cell>
        </row>
        <row r="936">
          <cell r="L936" t="str">
            <v>Trinidad &amp; Tobago</v>
          </cell>
          <cell r="M936" t="str">
            <v>Medium Risk</v>
          </cell>
        </row>
        <row r="937">
          <cell r="L937" t="str">
            <v>Tunisia</v>
          </cell>
          <cell r="M937" t="str">
            <v>Medium Risk</v>
          </cell>
        </row>
        <row r="938">
          <cell r="L938" t="str">
            <v>Turkey</v>
          </cell>
          <cell r="M938" t="str">
            <v>Medium Risk but under Caution</v>
          </cell>
        </row>
        <row r="939">
          <cell r="L939" t="str">
            <v>Turkmenistan</v>
          </cell>
          <cell r="M939" t="str">
            <v>Very High Risk &amp; under Caution</v>
          </cell>
        </row>
        <row r="940">
          <cell r="L940" t="str">
            <v>Uganda</v>
          </cell>
          <cell r="M940" t="str">
            <v>Very High Risk &amp; under Caution</v>
          </cell>
        </row>
        <row r="941">
          <cell r="L941" t="str">
            <v>Ukraine</v>
          </cell>
          <cell r="M941" t="str">
            <v>High Risk &amp; under Caution</v>
          </cell>
        </row>
        <row r="942">
          <cell r="L942" t="str">
            <v>United Arab Emirates</v>
          </cell>
          <cell r="M942" t="str">
            <v>Low Risk</v>
          </cell>
        </row>
        <row r="943">
          <cell r="L943" t="str">
            <v>United Kingdom (including Cayman Islands, Isle of Man, Jersey (CI) &amp; Virgin Islands)</v>
          </cell>
          <cell r="M943" t="str">
            <v>Insignificant Risk</v>
          </cell>
        </row>
        <row r="944">
          <cell r="L944" t="str">
            <v>United States</v>
          </cell>
          <cell r="M944" t="str">
            <v>Insignificant Risk</v>
          </cell>
        </row>
        <row r="945">
          <cell r="L945" t="str">
            <v>Uruguay</v>
          </cell>
          <cell r="M945" t="str">
            <v>High Risk &amp; under Caution</v>
          </cell>
        </row>
        <row r="946">
          <cell r="L946" t="str">
            <v>Uzbekistan</v>
          </cell>
          <cell r="M946" t="str">
            <v>Very High Risk &amp; under Caution</v>
          </cell>
        </row>
        <row r="947">
          <cell r="L947" t="str">
            <v>Vanuatu</v>
          </cell>
          <cell r="M947" t="str">
            <v>Very High Risk &amp; under Caution</v>
          </cell>
        </row>
        <row r="948">
          <cell r="L948" t="str">
            <v>Venezuela</v>
          </cell>
          <cell r="M948" t="str">
            <v>High Risk &amp; under Caution</v>
          </cell>
        </row>
        <row r="949">
          <cell r="L949" t="str">
            <v>Vietnam</v>
          </cell>
          <cell r="M949" t="str">
            <v>High Risk &amp; under Caution</v>
          </cell>
        </row>
        <row r="950">
          <cell r="L950" t="str">
            <v>Yemen</v>
          </cell>
          <cell r="M950" t="str">
            <v>Very High Risk &amp; under Caution</v>
          </cell>
        </row>
        <row r="951">
          <cell r="L951" t="str">
            <v>Zambia</v>
          </cell>
          <cell r="M951" t="str">
            <v>Very High Risk &amp; under Caution</v>
          </cell>
        </row>
        <row r="952">
          <cell r="L952" t="str">
            <v>Zimbabwe</v>
          </cell>
          <cell r="M952" t="str">
            <v>Off Credit/ Restricted &amp; under Caution</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solidFill>
            <a:srgbClr val="000000"/>
          </a:solidFill>
          <a:miter lim="800000"/>
          <a:headEnd/>
          <a:tailEnd/>
        </a:ln>
      </a:spPr>
      <a:body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X29"/>
  <sheetViews>
    <sheetView workbookViewId="0">
      <selection activeCell="B28" sqref="B28"/>
    </sheetView>
  </sheetViews>
  <sheetFormatPr defaultRowHeight="12.75" x14ac:dyDescent="0.2"/>
  <cols>
    <col min="1" max="1" width="2.5703125" style="70" customWidth="1"/>
    <col min="2" max="2" width="11" style="70" bestFit="1" customWidth="1"/>
    <col min="3" max="23" width="9.140625" style="70"/>
    <col min="24" max="24" width="22.42578125" style="70" customWidth="1"/>
    <col min="25" max="16384" width="9.140625" style="70"/>
  </cols>
  <sheetData>
    <row r="1" spans="1:24" x14ac:dyDescent="0.2">
      <c r="A1" s="692"/>
      <c r="B1" s="692"/>
      <c r="C1" s="692"/>
      <c r="D1" s="692"/>
      <c r="E1" s="692"/>
      <c r="F1" s="692"/>
      <c r="G1" s="692"/>
      <c r="H1" s="692"/>
      <c r="I1" s="692"/>
      <c r="J1" s="692"/>
      <c r="K1" s="692"/>
      <c r="L1" s="692"/>
      <c r="M1" s="692"/>
      <c r="N1" s="692"/>
      <c r="O1" s="692"/>
      <c r="P1" s="692"/>
      <c r="Q1" s="692"/>
      <c r="R1" s="692"/>
      <c r="S1" s="692"/>
      <c r="T1" s="692"/>
      <c r="U1" s="692"/>
      <c r="V1" s="692"/>
      <c r="W1" s="692"/>
      <c r="X1" s="693"/>
    </row>
    <row r="2" spans="1:24" x14ac:dyDescent="0.2">
      <c r="A2" s="692"/>
      <c r="B2" s="779" t="s">
        <v>776</v>
      </c>
      <c r="C2" s="780"/>
      <c r="D2" s="780"/>
      <c r="E2" s="780"/>
      <c r="F2" s="780"/>
      <c r="G2" s="780"/>
      <c r="H2" s="780"/>
      <c r="I2" s="780"/>
      <c r="J2" s="781"/>
      <c r="K2" s="692"/>
      <c r="L2" s="692"/>
      <c r="M2" s="692"/>
      <c r="N2" s="692"/>
      <c r="O2" s="692"/>
      <c r="P2" s="692"/>
      <c r="Q2" s="692"/>
      <c r="R2" s="692"/>
      <c r="S2" s="692"/>
      <c r="T2" s="692"/>
      <c r="U2" s="692"/>
      <c r="V2" s="692"/>
      <c r="W2" s="692"/>
      <c r="X2" s="693"/>
    </row>
    <row r="3" spans="1:24" x14ac:dyDescent="0.2">
      <c r="A3" s="692"/>
      <c r="B3" s="757"/>
      <c r="C3" s="692"/>
      <c r="D3" s="692"/>
      <c r="E3" s="692"/>
      <c r="F3" s="692"/>
      <c r="G3" s="692"/>
      <c r="H3" s="692"/>
      <c r="I3" s="692"/>
      <c r="J3" s="692"/>
      <c r="K3" s="692"/>
      <c r="L3" s="692"/>
      <c r="M3" s="692"/>
      <c r="N3" s="692"/>
      <c r="O3" s="692"/>
      <c r="P3" s="692"/>
      <c r="Q3" s="692"/>
      <c r="R3" s="692"/>
      <c r="S3" s="692"/>
      <c r="T3" s="692"/>
      <c r="U3" s="692"/>
      <c r="V3" s="692"/>
      <c r="W3" s="692"/>
      <c r="X3" s="693"/>
    </row>
    <row r="4" spans="1:24" x14ac:dyDescent="0.2">
      <c r="A4" s="692"/>
      <c r="B4" s="789" t="s">
        <v>1046</v>
      </c>
      <c r="C4" s="546"/>
      <c r="D4" s="546"/>
      <c r="E4" s="546"/>
      <c r="F4" s="546"/>
      <c r="G4" s="546"/>
      <c r="H4" s="546"/>
      <c r="I4" s="546"/>
      <c r="J4" s="546"/>
      <c r="K4" s="546"/>
      <c r="L4" s="546"/>
      <c r="M4" s="546"/>
      <c r="N4" s="546"/>
      <c r="O4" s="546"/>
      <c r="P4" s="546"/>
      <c r="Q4" s="546"/>
      <c r="R4" s="547"/>
      <c r="S4" s="692"/>
      <c r="T4" s="692"/>
      <c r="U4" s="692"/>
      <c r="V4" s="692"/>
      <c r="W4" s="692"/>
      <c r="X4" s="693"/>
    </row>
    <row r="5" spans="1:24" x14ac:dyDescent="0.2">
      <c r="A5" s="692"/>
      <c r="B5" s="926" t="s">
        <v>943</v>
      </c>
      <c r="C5" s="772"/>
      <c r="D5" s="772"/>
      <c r="E5" s="772"/>
      <c r="F5" s="772"/>
      <c r="G5" s="772"/>
      <c r="H5" s="772"/>
      <c r="I5" s="772"/>
      <c r="J5" s="772"/>
      <c r="K5" s="772"/>
      <c r="L5" s="772"/>
      <c r="M5" s="772"/>
      <c r="N5" s="772"/>
      <c r="O5" s="772"/>
      <c r="P5" s="772"/>
      <c r="Q5" s="772"/>
      <c r="R5" s="774"/>
      <c r="S5" s="692"/>
      <c r="T5" s="692"/>
      <c r="U5" s="692"/>
      <c r="V5" s="692"/>
      <c r="W5" s="692"/>
      <c r="X5" s="693"/>
    </row>
    <row r="6" spans="1:24" x14ac:dyDescent="0.2">
      <c r="A6" s="693"/>
      <c r="B6" s="771" t="s">
        <v>881</v>
      </c>
      <c r="C6" s="772"/>
      <c r="D6" s="772"/>
      <c r="E6" s="772"/>
      <c r="F6" s="772"/>
      <c r="G6" s="772"/>
      <c r="H6" s="772"/>
      <c r="I6" s="772"/>
      <c r="J6" s="772"/>
      <c r="K6" s="772"/>
      <c r="L6" s="772"/>
      <c r="M6" s="772"/>
      <c r="N6" s="772"/>
      <c r="O6" s="772"/>
      <c r="P6" s="772"/>
      <c r="Q6" s="772"/>
      <c r="R6" s="774"/>
      <c r="S6" s="692"/>
      <c r="T6" s="692"/>
      <c r="U6" s="692"/>
      <c r="V6" s="692"/>
      <c r="W6" s="692"/>
      <c r="X6" s="693"/>
    </row>
    <row r="7" spans="1:24" x14ac:dyDescent="0.2">
      <c r="A7" s="693"/>
      <c r="B7" s="771" t="s">
        <v>1026</v>
      </c>
      <c r="C7" s="772"/>
      <c r="D7" s="772"/>
      <c r="E7" s="772"/>
      <c r="F7" s="772"/>
      <c r="G7" s="772"/>
      <c r="H7" s="772"/>
      <c r="I7" s="772"/>
      <c r="J7" s="772"/>
      <c r="K7" s="772"/>
      <c r="L7" s="772"/>
      <c r="M7" s="772"/>
      <c r="N7" s="772"/>
      <c r="O7" s="772"/>
      <c r="P7" s="772"/>
      <c r="Q7" s="772"/>
      <c r="R7" s="774"/>
      <c r="S7" s="692"/>
      <c r="T7" s="692"/>
      <c r="U7" s="692"/>
      <c r="V7" s="692"/>
      <c r="W7" s="692"/>
      <c r="X7" s="693"/>
    </row>
    <row r="8" spans="1:24" s="157" customFormat="1" ht="15" customHeight="1" x14ac:dyDescent="0.2">
      <c r="A8" s="692"/>
      <c r="B8" s="790" t="s">
        <v>907</v>
      </c>
      <c r="C8" s="775"/>
      <c r="D8" s="775"/>
      <c r="E8" s="775"/>
      <c r="F8" s="775"/>
      <c r="G8" s="775"/>
      <c r="H8" s="775"/>
      <c r="I8" s="775"/>
      <c r="J8" s="775"/>
      <c r="K8" s="775"/>
      <c r="L8" s="775"/>
      <c r="M8" s="775"/>
      <c r="N8" s="775"/>
      <c r="O8" s="775"/>
      <c r="P8" s="775"/>
      <c r="Q8" s="775"/>
      <c r="R8" s="776"/>
      <c r="S8" s="760"/>
      <c r="T8" s="760"/>
      <c r="U8" s="760"/>
      <c r="V8" s="760"/>
      <c r="W8" s="760"/>
      <c r="X8" s="767"/>
    </row>
    <row r="9" spans="1:24" x14ac:dyDescent="0.2">
      <c r="A9" s="693"/>
      <c r="B9" s="771" t="s">
        <v>992</v>
      </c>
      <c r="C9" s="772"/>
      <c r="D9" s="772"/>
      <c r="E9" s="772"/>
      <c r="F9" s="772"/>
      <c r="G9" s="772"/>
      <c r="H9" s="772"/>
      <c r="I9" s="772"/>
      <c r="J9" s="772"/>
      <c r="K9" s="772"/>
      <c r="L9" s="772"/>
      <c r="M9" s="772"/>
      <c r="N9" s="772"/>
      <c r="O9" s="772"/>
      <c r="P9" s="772"/>
      <c r="Q9" s="772"/>
      <c r="R9" s="774"/>
      <c r="S9" s="692"/>
      <c r="T9" s="692"/>
      <c r="U9" s="692"/>
      <c r="V9" s="692"/>
      <c r="W9" s="692"/>
      <c r="X9" s="693"/>
    </row>
    <row r="10" spans="1:24" x14ac:dyDescent="0.2">
      <c r="A10" s="693"/>
      <c r="B10" s="773" t="s">
        <v>778</v>
      </c>
      <c r="C10" s="763"/>
      <c r="D10" s="763"/>
      <c r="E10" s="763"/>
      <c r="F10" s="763"/>
      <c r="G10" s="763"/>
      <c r="H10" s="763"/>
      <c r="I10" s="164"/>
      <c r="J10" s="164"/>
      <c r="K10" s="164"/>
      <c r="L10" s="164"/>
      <c r="M10" s="164"/>
      <c r="N10" s="164"/>
      <c r="O10" s="164"/>
      <c r="P10" s="164"/>
      <c r="Q10" s="164"/>
      <c r="R10" s="166"/>
      <c r="S10" s="692"/>
      <c r="T10" s="692"/>
      <c r="U10" s="692"/>
      <c r="V10" s="692"/>
      <c r="W10" s="692"/>
      <c r="X10" s="693"/>
    </row>
    <row r="11" spans="1:24" x14ac:dyDescent="0.2">
      <c r="A11" s="692"/>
      <c r="B11" s="762" t="s">
        <v>941</v>
      </c>
      <c r="C11" s="763"/>
      <c r="D11" s="763"/>
      <c r="E11" s="763"/>
      <c r="F11" s="763"/>
      <c r="G11" s="763"/>
      <c r="H11" s="763"/>
      <c r="I11" s="763"/>
      <c r="J11" s="164"/>
      <c r="K11" s="164"/>
      <c r="L11" s="164"/>
      <c r="M11" s="164"/>
      <c r="N11" s="164"/>
      <c r="O11" s="164"/>
      <c r="P11" s="164"/>
      <c r="Q11" s="164"/>
      <c r="R11" s="166"/>
      <c r="S11" s="692"/>
      <c r="T11" s="692"/>
      <c r="U11" s="692"/>
      <c r="V11" s="692"/>
      <c r="W11" s="692"/>
      <c r="X11" s="693"/>
    </row>
    <row r="12" spans="1:24" x14ac:dyDescent="0.2">
      <c r="A12" s="692"/>
      <c r="B12" s="932" t="s">
        <v>944</v>
      </c>
      <c r="C12" s="930"/>
      <c r="D12" s="930"/>
      <c r="E12" s="930"/>
      <c r="F12" s="930"/>
      <c r="G12" s="931"/>
      <c r="H12" s="931"/>
      <c r="I12" s="164"/>
      <c r="J12" s="164"/>
      <c r="K12" s="164"/>
      <c r="L12" s="164"/>
      <c r="M12" s="164"/>
      <c r="N12" s="164"/>
      <c r="O12" s="164"/>
      <c r="P12" s="164"/>
      <c r="Q12" s="164"/>
      <c r="R12" s="166"/>
      <c r="S12" s="692"/>
      <c r="T12" s="692"/>
      <c r="U12" s="692"/>
      <c r="V12" s="692"/>
      <c r="W12" s="692"/>
      <c r="X12" s="693"/>
    </row>
    <row r="13" spans="1:24" x14ac:dyDescent="0.2">
      <c r="A13" s="692"/>
      <c r="B13" s="933" t="s">
        <v>1050</v>
      </c>
      <c r="C13" s="777"/>
      <c r="D13" s="777"/>
      <c r="E13" s="777"/>
      <c r="F13" s="777"/>
      <c r="G13" s="778"/>
      <c r="H13" s="778"/>
      <c r="I13" s="165"/>
      <c r="J13" s="165"/>
      <c r="K13" s="165"/>
      <c r="L13" s="165"/>
      <c r="M13" s="165"/>
      <c r="N13" s="165"/>
      <c r="O13" s="165"/>
      <c r="P13" s="165"/>
      <c r="Q13" s="165"/>
      <c r="R13" s="167"/>
      <c r="S13" s="692"/>
      <c r="T13" s="692"/>
      <c r="U13" s="692"/>
      <c r="V13" s="692"/>
      <c r="W13" s="692"/>
      <c r="X13" s="693"/>
    </row>
    <row r="14" spans="1:24" x14ac:dyDescent="0.2">
      <c r="A14" s="692"/>
      <c r="B14" s="758"/>
      <c r="C14" s="692"/>
      <c r="D14" s="692"/>
      <c r="E14" s="692"/>
      <c r="F14" s="692"/>
      <c r="G14" s="692"/>
      <c r="H14" s="692"/>
      <c r="I14" s="692"/>
      <c r="J14" s="692"/>
      <c r="K14" s="692"/>
      <c r="L14" s="692"/>
      <c r="M14" s="692"/>
      <c r="N14" s="692"/>
      <c r="O14" s="692"/>
      <c r="P14" s="692"/>
      <c r="Q14" s="692"/>
      <c r="R14" s="692"/>
      <c r="S14" s="692"/>
      <c r="T14" s="692"/>
      <c r="U14" s="692"/>
      <c r="V14" s="692"/>
      <c r="W14" s="692"/>
      <c r="X14" s="694"/>
    </row>
    <row r="15" spans="1:24" ht="57" customHeight="1" x14ac:dyDescent="0.25">
      <c r="A15" s="692"/>
      <c r="B15" s="1018" t="s">
        <v>1019</v>
      </c>
      <c r="C15" s="1019"/>
      <c r="D15" s="1019"/>
      <c r="E15" s="1019"/>
      <c r="F15" s="1019"/>
      <c r="G15" s="1019"/>
      <c r="H15" s="1019"/>
      <c r="I15" s="1019"/>
      <c r="J15" s="1020"/>
      <c r="K15" s="759"/>
      <c r="L15" s="1021" t="s">
        <v>995</v>
      </c>
      <c r="M15" s="1022"/>
      <c r="N15" s="1022"/>
      <c r="O15" s="1022"/>
      <c r="P15" s="1022"/>
      <c r="Q15" s="1022"/>
      <c r="R15" s="1023"/>
      <c r="S15" s="997"/>
      <c r="T15" s="997"/>
      <c r="U15" s="997"/>
      <c r="V15" s="997"/>
      <c r="W15" s="997"/>
      <c r="X15" s="998"/>
    </row>
    <row r="16" spans="1:24" x14ac:dyDescent="0.2">
      <c r="A16" s="692"/>
      <c r="B16" s="758"/>
      <c r="C16" s="692"/>
      <c r="D16" s="692"/>
      <c r="E16" s="692"/>
      <c r="F16" s="692"/>
      <c r="G16" s="692"/>
      <c r="H16" s="692"/>
      <c r="I16" s="692"/>
      <c r="J16" s="692"/>
      <c r="K16" s="692"/>
      <c r="L16" s="1024" t="s">
        <v>1077</v>
      </c>
      <c r="M16" s="1025"/>
      <c r="N16" s="1025"/>
      <c r="O16" s="1025"/>
      <c r="P16" s="1025"/>
      <c r="Q16" s="1025"/>
      <c r="R16" s="1025"/>
      <c r="S16" s="1025"/>
      <c r="T16" s="1025"/>
      <c r="U16" s="1025"/>
      <c r="V16" s="1025"/>
      <c r="W16" s="1025"/>
      <c r="X16" s="1026"/>
    </row>
    <row r="17" spans="1:24" x14ac:dyDescent="0.2">
      <c r="A17" s="692"/>
      <c r="B17" s="391" t="s">
        <v>882</v>
      </c>
      <c r="C17" s="392"/>
      <c r="D17" s="392"/>
      <c r="E17" s="392"/>
      <c r="F17" s="392"/>
      <c r="G17" s="392"/>
      <c r="H17" s="392"/>
      <c r="I17" s="392"/>
      <c r="J17" s="393"/>
      <c r="K17" s="692"/>
      <c r="L17" s="1027" t="s">
        <v>938</v>
      </c>
      <c r="M17" s="1028"/>
      <c r="N17" s="1028"/>
      <c r="O17" s="1028"/>
      <c r="P17" s="1028"/>
      <c r="Q17" s="1028"/>
      <c r="R17" s="1028"/>
      <c r="S17" s="1028"/>
      <c r="T17" s="1028"/>
      <c r="U17" s="1028"/>
      <c r="V17" s="1028"/>
      <c r="W17" s="1028"/>
      <c r="X17" s="1029"/>
    </row>
    <row r="18" spans="1:24" x14ac:dyDescent="0.2">
      <c r="A18" s="692"/>
      <c r="B18" s="394" t="s">
        <v>883</v>
      </c>
      <c r="C18" s="395"/>
      <c r="D18" s="395"/>
      <c r="E18" s="395"/>
      <c r="F18" s="395"/>
      <c r="G18" s="395"/>
      <c r="H18" s="395"/>
      <c r="I18" s="395"/>
      <c r="J18" s="396"/>
      <c r="K18" s="692"/>
      <c r="L18" s="994" t="s">
        <v>940</v>
      </c>
      <c r="M18" s="995"/>
      <c r="N18" s="995"/>
      <c r="O18" s="995"/>
      <c r="P18" s="995"/>
      <c r="Q18" s="995"/>
      <c r="R18" s="995"/>
      <c r="S18" s="995"/>
      <c r="T18" s="995"/>
      <c r="U18" s="995"/>
      <c r="V18" s="995"/>
      <c r="W18" s="995"/>
      <c r="X18" s="996"/>
    </row>
    <row r="19" spans="1:24" x14ac:dyDescent="0.2">
      <c r="A19" s="692"/>
      <c r="B19" s="692"/>
      <c r="C19" s="692"/>
      <c r="D19" s="692"/>
      <c r="E19" s="692"/>
      <c r="F19" s="692"/>
      <c r="G19" s="692"/>
      <c r="H19" s="692"/>
      <c r="I19" s="692"/>
      <c r="J19" s="692"/>
      <c r="K19" s="692"/>
      <c r="L19" s="994" t="s">
        <v>908</v>
      </c>
      <c r="M19" s="995"/>
      <c r="N19" s="995"/>
      <c r="O19" s="995"/>
      <c r="P19" s="995"/>
      <c r="Q19" s="995"/>
      <c r="R19" s="995"/>
      <c r="S19" s="995"/>
      <c r="T19" s="995"/>
      <c r="U19" s="995"/>
      <c r="V19" s="995"/>
      <c r="W19" s="995"/>
      <c r="X19" s="996"/>
    </row>
    <row r="20" spans="1:24" x14ac:dyDescent="0.2">
      <c r="A20" s="692"/>
      <c r="B20" s="761" t="s">
        <v>514</v>
      </c>
      <c r="C20" s="392"/>
      <c r="D20" s="392"/>
      <c r="E20" s="392"/>
      <c r="F20" s="393"/>
      <c r="G20" s="692"/>
      <c r="H20" s="692"/>
      <c r="I20" s="692"/>
      <c r="J20" s="692"/>
      <c r="K20" s="692"/>
      <c r="L20" s="994" t="s">
        <v>1039</v>
      </c>
      <c r="M20" s="995"/>
      <c r="N20" s="995"/>
      <c r="O20" s="995"/>
      <c r="P20" s="995"/>
      <c r="Q20" s="995"/>
      <c r="R20" s="995"/>
      <c r="S20" s="995"/>
      <c r="T20" s="995"/>
      <c r="U20" s="995"/>
      <c r="V20" s="995"/>
      <c r="W20" s="995"/>
      <c r="X20" s="996"/>
    </row>
    <row r="21" spans="1:24" x14ac:dyDescent="0.2">
      <c r="A21" s="692"/>
      <c r="B21" s="762"/>
      <c r="C21" s="763"/>
      <c r="D21" s="763"/>
      <c r="E21" s="763"/>
      <c r="F21" s="764"/>
      <c r="G21" s="692"/>
      <c r="H21" s="692"/>
      <c r="I21" s="692"/>
      <c r="J21" s="692"/>
      <c r="K21" s="692"/>
      <c r="L21" s="994" t="s">
        <v>939</v>
      </c>
      <c r="M21" s="995"/>
      <c r="N21" s="995"/>
      <c r="O21" s="995"/>
      <c r="P21" s="995"/>
      <c r="Q21" s="995"/>
      <c r="R21" s="995"/>
      <c r="S21" s="995"/>
      <c r="T21" s="995"/>
      <c r="U21" s="995"/>
      <c r="V21" s="995"/>
      <c r="W21" s="995"/>
      <c r="X21" s="996"/>
    </row>
    <row r="22" spans="1:24" x14ac:dyDescent="0.2">
      <c r="A22" s="692"/>
      <c r="B22" s="762" t="s">
        <v>1020</v>
      </c>
      <c r="C22" s="763"/>
      <c r="D22" s="763"/>
      <c r="E22" s="763"/>
      <c r="F22" s="764"/>
      <c r="G22" s="692"/>
      <c r="H22" s="692"/>
      <c r="I22" s="692"/>
      <c r="J22" s="692"/>
      <c r="K22" s="692"/>
      <c r="L22" s="994" t="s">
        <v>924</v>
      </c>
      <c r="M22" s="995"/>
      <c r="N22" s="995"/>
      <c r="O22" s="995"/>
      <c r="P22" s="995"/>
      <c r="Q22" s="995"/>
      <c r="R22" s="995"/>
      <c r="S22" s="995"/>
      <c r="T22" s="995"/>
      <c r="U22" s="995"/>
      <c r="V22" s="995"/>
      <c r="W22" s="995"/>
      <c r="X22" s="996"/>
    </row>
    <row r="23" spans="1:24" x14ac:dyDescent="0.2">
      <c r="A23" s="692"/>
      <c r="B23" s="762"/>
      <c r="C23" s="763"/>
      <c r="D23" s="763"/>
      <c r="E23" s="763"/>
      <c r="F23" s="764"/>
      <c r="G23" s="692"/>
      <c r="H23" s="692"/>
      <c r="I23" s="692"/>
      <c r="J23" s="692"/>
      <c r="K23" s="692"/>
      <c r="L23" s="994" t="s">
        <v>988</v>
      </c>
      <c r="M23" s="995"/>
      <c r="N23" s="995"/>
      <c r="O23" s="995"/>
      <c r="P23" s="995"/>
      <c r="Q23" s="995"/>
      <c r="R23" s="995"/>
      <c r="S23" s="995"/>
      <c r="T23" s="995"/>
      <c r="U23" s="995"/>
      <c r="V23" s="995"/>
      <c r="W23" s="995"/>
      <c r="X23" s="996"/>
    </row>
    <row r="24" spans="1:24" x14ac:dyDescent="0.2">
      <c r="A24" s="692"/>
      <c r="B24" s="762" t="s">
        <v>1078</v>
      </c>
      <c r="C24" s="763"/>
      <c r="D24" s="763"/>
      <c r="E24" s="763"/>
      <c r="F24" s="764"/>
      <c r="G24" s="692"/>
      <c r="H24" s="692"/>
      <c r="I24" s="692"/>
      <c r="J24" s="692"/>
      <c r="K24" s="692"/>
      <c r="L24" s="994" t="s">
        <v>960</v>
      </c>
      <c r="M24" s="995"/>
      <c r="N24" s="995"/>
      <c r="O24" s="995"/>
      <c r="P24" s="995"/>
      <c r="Q24" s="995"/>
      <c r="R24" s="995"/>
      <c r="S24" s="995"/>
      <c r="T24" s="995"/>
      <c r="U24" s="995"/>
      <c r="V24" s="995"/>
      <c r="W24" s="995"/>
      <c r="X24" s="996"/>
    </row>
    <row r="25" spans="1:24" x14ac:dyDescent="0.2">
      <c r="A25" s="692"/>
      <c r="B25" s="762" t="s">
        <v>515</v>
      </c>
      <c r="C25" s="763"/>
      <c r="D25" s="763"/>
      <c r="E25" s="763"/>
      <c r="F25" s="764"/>
      <c r="G25" s="692"/>
      <c r="H25" s="692"/>
      <c r="I25" s="692"/>
      <c r="J25" s="692"/>
      <c r="K25" s="692"/>
      <c r="L25" s="994" t="s">
        <v>994</v>
      </c>
      <c r="M25" s="995"/>
      <c r="N25" s="995"/>
      <c r="O25" s="995"/>
      <c r="P25" s="995"/>
      <c r="Q25" s="995"/>
      <c r="R25" s="995"/>
      <c r="S25" s="995"/>
      <c r="T25" s="995"/>
      <c r="U25" s="995"/>
      <c r="V25" s="995"/>
      <c r="W25" s="995"/>
      <c r="X25" s="996"/>
    </row>
    <row r="26" spans="1:24" x14ac:dyDescent="0.2">
      <c r="A26" s="692"/>
      <c r="B26" s="765" t="s">
        <v>516</v>
      </c>
      <c r="C26" s="763"/>
      <c r="D26" s="763"/>
      <c r="E26" s="763"/>
      <c r="F26" s="764"/>
      <c r="G26" s="692"/>
      <c r="H26" s="692"/>
      <c r="I26" s="692"/>
      <c r="J26" s="692"/>
      <c r="K26" s="692"/>
      <c r="L26" s="991" t="s">
        <v>991</v>
      </c>
      <c r="M26" s="992"/>
      <c r="N26" s="992"/>
      <c r="O26" s="992"/>
      <c r="P26" s="992"/>
      <c r="Q26" s="992"/>
      <c r="R26" s="992"/>
      <c r="S26" s="992"/>
      <c r="T26" s="992"/>
      <c r="U26" s="992"/>
      <c r="V26" s="992"/>
      <c r="W26" s="992"/>
      <c r="X26" s="993"/>
    </row>
    <row r="27" spans="1:24" x14ac:dyDescent="0.2">
      <c r="A27" s="692"/>
      <c r="B27" s="766" t="s">
        <v>906</v>
      </c>
      <c r="C27" s="395"/>
      <c r="D27" s="763"/>
      <c r="E27" s="763"/>
      <c r="F27" s="764"/>
      <c r="G27" s="692"/>
      <c r="H27" s="692"/>
      <c r="I27" s="692"/>
      <c r="J27" s="692"/>
      <c r="K27" s="692"/>
      <c r="L27" s="692"/>
      <c r="M27" s="692"/>
      <c r="N27" s="692"/>
      <c r="O27" s="692"/>
      <c r="P27" s="692"/>
      <c r="Q27" s="692"/>
      <c r="R27" s="692"/>
      <c r="S27" s="692"/>
      <c r="T27" s="692"/>
      <c r="U27" s="692"/>
      <c r="V27" s="692"/>
      <c r="W27" s="692"/>
      <c r="X27" s="693"/>
    </row>
    <row r="28" spans="1:24" x14ac:dyDescent="0.2">
      <c r="A28" s="692"/>
      <c r="B28" s="71" t="s">
        <v>1072</v>
      </c>
      <c r="C28" s="72"/>
      <c r="D28" s="395"/>
      <c r="E28" s="395"/>
      <c r="F28" s="396"/>
      <c r="G28" s="692"/>
      <c r="H28" s="692"/>
      <c r="I28" s="692"/>
      <c r="J28" s="692"/>
      <c r="K28" s="692"/>
      <c r="L28" s="692"/>
      <c r="M28" s="692"/>
      <c r="N28" s="692"/>
      <c r="O28" s="692"/>
      <c r="P28" s="692"/>
      <c r="Q28" s="692"/>
      <c r="R28" s="692"/>
      <c r="S28" s="692"/>
      <c r="T28" s="692"/>
      <c r="U28" s="692"/>
      <c r="V28" s="692"/>
      <c r="W28" s="692"/>
      <c r="X28" s="693"/>
    </row>
    <row r="29" spans="1:24" x14ac:dyDescent="0.2">
      <c r="A29" s="692"/>
      <c r="B29" s="692"/>
      <c r="C29" s="692"/>
      <c r="D29" s="692"/>
      <c r="E29" s="692"/>
      <c r="F29" s="692"/>
      <c r="G29" s="692"/>
      <c r="H29" s="692"/>
      <c r="I29" s="692"/>
      <c r="J29" s="692"/>
      <c r="K29" s="692"/>
      <c r="L29" s="692"/>
      <c r="M29" s="692"/>
      <c r="N29" s="692"/>
      <c r="O29" s="692"/>
      <c r="P29" s="692"/>
      <c r="Q29" s="692"/>
      <c r="R29" s="692"/>
      <c r="S29" s="692"/>
      <c r="T29" s="692"/>
      <c r="U29" s="692"/>
      <c r="V29" s="692"/>
      <c r="W29" s="692"/>
      <c r="X29" s="693"/>
    </row>
  </sheetData>
  <mergeCells count="4">
    <mergeCell ref="B15:J15"/>
    <mergeCell ref="L15:R15"/>
    <mergeCell ref="L16:X16"/>
    <mergeCell ref="L17:X17"/>
  </mergeCells>
  <phoneticPr fontId="0" type="noConversion"/>
  <pageMargins left="0.75" right="0.75" top="1" bottom="1" header="0.5" footer="0.5"/>
  <pageSetup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V240"/>
  <sheetViews>
    <sheetView tabSelected="1" zoomScaleNormal="100" workbookViewId="0">
      <selection activeCell="B65" sqref="B65:B68"/>
    </sheetView>
  </sheetViews>
  <sheetFormatPr defaultRowHeight="14.25" x14ac:dyDescent="0.2"/>
  <cols>
    <col min="1" max="1" width="27" style="321" customWidth="1"/>
    <col min="2" max="21" width="10.7109375" style="288" customWidth="1"/>
    <col min="22" max="22" width="8.7109375" style="258" customWidth="1"/>
    <col min="23" max="16384" width="9.140625" style="258"/>
  </cols>
  <sheetData>
    <row r="1" spans="1:22" ht="15" x14ac:dyDescent="0.25">
      <c r="A1" s="294" t="s">
        <v>456</v>
      </c>
      <c r="B1" s="295"/>
      <c r="C1" s="397"/>
      <c r="D1" s="295"/>
      <c r="E1" s="295"/>
      <c r="F1" s="295"/>
      <c r="G1" s="295"/>
      <c r="H1" s="295"/>
      <c r="I1" s="295"/>
      <c r="J1" s="295"/>
      <c r="K1" s="295"/>
      <c r="L1" s="295"/>
      <c r="M1" s="295"/>
      <c r="N1" s="295"/>
      <c r="O1" s="295"/>
      <c r="P1" s="295"/>
      <c r="Q1" s="295"/>
      <c r="R1" s="295"/>
      <c r="S1" s="295"/>
      <c r="T1" s="295"/>
      <c r="U1" s="295"/>
      <c r="V1" s="398"/>
    </row>
    <row r="2" spans="1:22" ht="18.75" customHeight="1" x14ac:dyDescent="0.25">
      <c r="A2" s="609" t="s">
        <v>553</v>
      </c>
      <c r="B2" s="610"/>
      <c r="C2" s="1089" t="str">
        <f>IF(INPUT!C6="","",INPUT!C6)</f>
        <v>M/s BOTHANZI MEDICALS PVT LTD.</v>
      </c>
      <c r="D2" s="1089"/>
      <c r="E2" s="1089"/>
      <c r="F2" s="1089"/>
      <c r="G2" s="1089"/>
      <c r="H2" s="793"/>
      <c r="I2" s="611"/>
      <c r="J2" s="611"/>
      <c r="K2" s="611"/>
      <c r="L2" s="611"/>
      <c r="M2" s="611"/>
      <c r="N2" s="610"/>
      <c r="O2" s="610"/>
      <c r="P2" s="610"/>
      <c r="Q2" s="610"/>
      <c r="R2" s="610"/>
      <c r="S2" s="610"/>
      <c r="T2" s="610"/>
      <c r="U2" s="610"/>
      <c r="V2" s="612"/>
    </row>
    <row r="3" spans="1:22" s="297" customFormat="1" ht="12.75" customHeight="1" x14ac:dyDescent="0.25">
      <c r="A3" s="296"/>
      <c r="B3" s="261">
        <f>'Oper.St.'!C11</f>
        <v>2020</v>
      </c>
      <c r="C3" s="261">
        <f>'Oper.St.'!D11</f>
        <v>2021</v>
      </c>
      <c r="D3" s="261">
        <f>'Oper.St.'!E11</f>
        <v>2022</v>
      </c>
      <c r="E3" s="261">
        <f>'Oper.St.'!F11</f>
        <v>2023</v>
      </c>
      <c r="F3" s="261">
        <f>'Oper.St.'!G11</f>
        <v>2024</v>
      </c>
      <c r="G3" s="261">
        <f>'Oper.St.'!H11</f>
        <v>2025</v>
      </c>
      <c r="H3" s="261">
        <f>'Oper.St.'!I11</f>
        <v>2026</v>
      </c>
      <c r="I3" s="261">
        <f>'Oper.St.'!J11</f>
        <v>2027</v>
      </c>
      <c r="J3" s="261">
        <f>'Oper.St.'!K11</f>
        <v>2028</v>
      </c>
      <c r="K3" s="261">
        <f>'Oper.St.'!L11</f>
        <v>2029</v>
      </c>
      <c r="L3" s="261">
        <f>'Oper.St.'!M11</f>
        <v>2030</v>
      </c>
      <c r="M3" s="261">
        <f>'Oper.St.'!N11</f>
        <v>2031</v>
      </c>
      <c r="N3" s="261">
        <f>'Oper.St.'!O11</f>
        <v>2032</v>
      </c>
      <c r="O3" s="261">
        <f>'Oper.St.'!P11</f>
        <v>2033</v>
      </c>
      <c r="P3" s="261">
        <f>'Oper.St.'!Q11</f>
        <v>2034</v>
      </c>
      <c r="Q3" s="261">
        <f>'Oper.St.'!R11</f>
        <v>2035</v>
      </c>
      <c r="R3" s="261">
        <f>'Oper.St.'!S11</f>
        <v>2036</v>
      </c>
      <c r="S3" s="261">
        <f>'Oper.St.'!T11</f>
        <v>2037</v>
      </c>
      <c r="T3" s="261">
        <f>'Oper.St.'!U11</f>
        <v>2038</v>
      </c>
      <c r="U3" s="261">
        <f>'Oper.St.'!V11</f>
        <v>2039</v>
      </c>
      <c r="V3" s="613"/>
    </row>
    <row r="4" spans="1:22" s="297" customFormat="1" ht="12.75" customHeight="1" x14ac:dyDescent="0.25">
      <c r="A4" s="298"/>
      <c r="B4" s="299" t="str">
        <f>'Oper.St.'!C12</f>
        <v>AUD.</v>
      </c>
      <c r="C4" s="299" t="str">
        <f>'Oper.St.'!D12</f>
        <v>AUD.</v>
      </c>
      <c r="D4" s="299" t="str">
        <f>'Oper.St.'!E12</f>
        <v>AUD.</v>
      </c>
      <c r="E4" s="299" t="str">
        <f>'Oper.St.'!F12</f>
        <v>EST.</v>
      </c>
      <c r="F4" s="299" t="str">
        <f>'Oper.St.'!G12</f>
        <v>PROJ.</v>
      </c>
      <c r="G4" s="299" t="str">
        <f>'Oper.St.'!H12</f>
        <v>PROJ.</v>
      </c>
      <c r="H4" s="299" t="str">
        <f>'Oper.St.'!I12</f>
        <v>PROJ.</v>
      </c>
      <c r="I4" s="299" t="str">
        <f>'Oper.St.'!J12</f>
        <v>PROJ.</v>
      </c>
      <c r="J4" s="299" t="str">
        <f>'Oper.St.'!K12</f>
        <v>PROJ.</v>
      </c>
      <c r="K4" s="299" t="str">
        <f>'Oper.St.'!L12</f>
        <v>PROJ.</v>
      </c>
      <c r="L4" s="299" t="str">
        <f>'Oper.St.'!M12</f>
        <v>PROJ.</v>
      </c>
      <c r="M4" s="299" t="str">
        <f>'Oper.St.'!N12</f>
        <v>PROJ.</v>
      </c>
      <c r="N4" s="299" t="str">
        <f>'Oper.St.'!O12</f>
        <v>PROJ.</v>
      </c>
      <c r="O4" s="299" t="str">
        <f>'Oper.St.'!P12</f>
        <v>PROJ.</v>
      </c>
      <c r="P4" s="299" t="str">
        <f>'Oper.St.'!Q12</f>
        <v>PROJ.</v>
      </c>
      <c r="Q4" s="299" t="str">
        <f>'Oper.St.'!R12</f>
        <v>PROJ.</v>
      </c>
      <c r="R4" s="299" t="str">
        <f>'Oper.St.'!S12</f>
        <v>PROJ.</v>
      </c>
      <c r="S4" s="299" t="str">
        <f>'Oper.St.'!T12</f>
        <v>PROJ.</v>
      </c>
      <c r="T4" s="299" t="str">
        <f>'Oper.St.'!U12</f>
        <v>PROJ.</v>
      </c>
      <c r="U4" s="299" t="str">
        <f>'Oper.St.'!V12</f>
        <v>PROJ.</v>
      </c>
      <c r="V4" s="613"/>
    </row>
    <row r="5" spans="1:22" s="352" customFormat="1" ht="11.1" customHeight="1" x14ac:dyDescent="0.2">
      <c r="A5" s="351" t="s">
        <v>435</v>
      </c>
      <c r="B5" s="348">
        <f>IF(ISERROR('Oper.St.'!C17),"",IF('Oper.St.'!C17=0,"",'Oper.St.'!C17))</f>
        <v>0.8</v>
      </c>
      <c r="C5" s="348">
        <f>IF(ISERROR('Oper.St.'!D17),"",IF('Oper.St.'!D17=0,"",'Oper.St.'!D17))</f>
        <v>1.05</v>
      </c>
      <c r="D5" s="348">
        <f>IF(ISERROR('Oper.St.'!E17),"",IF('Oper.St.'!E17=0,"",'Oper.St.'!E17))</f>
        <v>2.2000000000000002</v>
      </c>
      <c r="E5" s="348">
        <f>IF(ISERROR('Oper.St.'!F17),"",IF('Oper.St.'!F17=0,"",'Oper.St.'!F17))</f>
        <v>4</v>
      </c>
      <c r="F5" s="348">
        <f>IF(ISERROR('Oper.St.'!G17),"",IF('Oper.St.'!G17=0,"",'Oper.St.'!G17))</f>
        <v>20</v>
      </c>
      <c r="G5" s="348">
        <f>IF(ISERROR('Oper.St.'!H17),"",IF('Oper.St.'!H17=0,"",'Oper.St.'!H17))</f>
        <v>34.28</v>
      </c>
      <c r="H5" s="348">
        <f>IF(ISERROR('Oper.St.'!I17),"",IF('Oper.St.'!I17=0,"",'Oper.St.'!I17))</f>
        <v>40.42</v>
      </c>
      <c r="I5" s="348">
        <f>IF(ISERROR('Oper.St.'!J17),"",IF('Oper.St.'!J17=0,"",'Oper.St.'!J17))</f>
        <v>44.09</v>
      </c>
      <c r="J5" s="348">
        <f>IF(ISERROR('Oper.St.'!K17),"",IF('Oper.St.'!K17=0,"",'Oper.St.'!K17))</f>
        <v>47.96</v>
      </c>
      <c r="K5" s="348">
        <f>IF(ISERROR('Oper.St.'!L17),"",IF('Oper.St.'!L17=0,"",'Oper.St.'!L17))</f>
        <v>52.03</v>
      </c>
      <c r="L5" s="348">
        <f>IF(ISERROR('Oper.St.'!M17),"",IF('Oper.St.'!M17=0,"",'Oper.St.'!M17))</f>
        <v>56.2</v>
      </c>
      <c r="M5" s="348" t="str">
        <f>IF(ISERROR('Oper.St.'!N17),"",IF('Oper.St.'!N17=0,"",'Oper.St.'!N17))</f>
        <v/>
      </c>
      <c r="N5" s="348" t="str">
        <f>IF(ISERROR('Oper.St.'!O17),"",IF('Oper.St.'!O17=0,"",'Oper.St.'!O17))</f>
        <v/>
      </c>
      <c r="O5" s="348" t="str">
        <f>IF(ISERROR('Oper.St.'!P17),"",IF('Oper.St.'!P17=0,"",'Oper.St.'!P17))</f>
        <v/>
      </c>
      <c r="P5" s="348" t="str">
        <f>IF(ISERROR('Oper.St.'!Q17),"",IF('Oper.St.'!Q17=0,"",'Oper.St.'!Q17))</f>
        <v/>
      </c>
      <c r="Q5" s="348" t="str">
        <f>IF(ISERROR('Oper.St.'!R17),"",IF('Oper.St.'!R17=0,"",'Oper.St.'!R17))</f>
        <v/>
      </c>
      <c r="R5" s="348" t="str">
        <f>IF(ISERROR('Oper.St.'!S17),"",IF('Oper.St.'!S17=0,"",'Oper.St.'!S17))</f>
        <v/>
      </c>
      <c r="S5" s="348" t="str">
        <f>IF(ISERROR('Oper.St.'!T17),"",IF('Oper.St.'!T17=0,"",'Oper.St.'!T17))</f>
        <v/>
      </c>
      <c r="T5" s="348" t="str">
        <f>IF(ISERROR('Oper.St.'!U17),"",IF('Oper.St.'!U17=0,"",'Oper.St.'!U17))</f>
        <v/>
      </c>
      <c r="U5" s="348" t="str">
        <f>IF(ISERROR('Oper.St.'!V17),"",IF('Oper.St.'!V17=0,"",'Oper.St.'!V17))</f>
        <v/>
      </c>
      <c r="V5" s="614"/>
    </row>
    <row r="6" spans="1:22" s="352" customFormat="1" ht="11.1" customHeight="1" x14ac:dyDescent="0.2">
      <c r="A6" s="353"/>
      <c r="B6" s="350" t="str">
        <f>IF(INPUT!C25="","",CONCATENATE("(",INPUT!C25,")"))</f>
        <v/>
      </c>
      <c r="C6" s="350" t="str">
        <f>IF(INPUT!D25="","",CONCATENATE("(",INPUT!D25,")"))</f>
        <v/>
      </c>
      <c r="D6" s="350" t="str">
        <f>IF(INPUT!E25="","",CONCATENATE("(",INPUT!E25,")"))</f>
        <v/>
      </c>
      <c r="E6" s="350" t="str">
        <f>IF(INPUT!F25="","",CONCATENATE("(",INPUT!F25,")"))</f>
        <v/>
      </c>
      <c r="F6" s="350" t="str">
        <f>IF(INPUT!G25="","",CONCATENATE("(",INPUT!G25,")"))</f>
        <v/>
      </c>
      <c r="G6" s="350" t="str">
        <f>IF(INPUT!H25="","",CONCATENATE("(",INPUT!H25,")"))</f>
        <v/>
      </c>
      <c r="H6" s="350" t="str">
        <f>IF(INPUT!I25="","",CONCATENATE("(",INPUT!I25,")"))</f>
        <v/>
      </c>
      <c r="I6" s="350" t="str">
        <f>IF(INPUT!J25="","",CONCATENATE("(",INPUT!J25,")"))</f>
        <v/>
      </c>
      <c r="J6" s="350" t="str">
        <f>IF(INPUT!K25="","",CONCATENATE("(",INPUT!K25,")"))</f>
        <v/>
      </c>
      <c r="K6" s="350" t="str">
        <f>IF(INPUT!L25="","",CONCATENATE("(",INPUT!L25,")"))</f>
        <v/>
      </c>
      <c r="L6" s="350" t="str">
        <f>IF(INPUT!M25="","",CONCATENATE("(",INPUT!M25,")"))</f>
        <v/>
      </c>
      <c r="M6" s="350" t="str">
        <f>IF(INPUT!N25="","",CONCATENATE("(",INPUT!N25,")"))</f>
        <v/>
      </c>
      <c r="N6" s="350" t="str">
        <f>IF(INPUT!O25="","",CONCATENATE("(",INPUT!O25,")"))</f>
        <v/>
      </c>
      <c r="O6" s="350" t="str">
        <f>IF(INPUT!P25="","",CONCATENATE("(",INPUT!P25,")"))</f>
        <v/>
      </c>
      <c r="P6" s="350" t="str">
        <f>IF(INPUT!Q25="","",CONCATENATE("(",INPUT!Q25,")"))</f>
        <v/>
      </c>
      <c r="Q6" s="350" t="str">
        <f>IF(INPUT!R25="","",CONCATENATE("(",INPUT!R25,")"))</f>
        <v/>
      </c>
      <c r="R6" s="350" t="str">
        <f>IF(INPUT!S25="","",CONCATENATE("(",INPUT!S25,")"))</f>
        <v/>
      </c>
      <c r="S6" s="350" t="str">
        <f>IF(INPUT!T25="","",CONCATENATE("(",INPUT!T25,")"))</f>
        <v/>
      </c>
      <c r="T6" s="350" t="str">
        <f>IF(INPUT!U25="","",CONCATENATE("(",INPUT!U25,")"))</f>
        <v/>
      </c>
      <c r="U6" s="350" t="str">
        <f>IF(INPUT!V25="","",CONCATENATE("(",INPUT!V25,")"))</f>
        <v/>
      </c>
      <c r="V6" s="614"/>
    </row>
    <row r="7" spans="1:22" s="355" customFormat="1" ht="11.1" customHeight="1" x14ac:dyDescent="0.2">
      <c r="A7" s="354" t="s">
        <v>436</v>
      </c>
      <c r="B7" s="349">
        <f>IF(ISERROR('Oper.St.'!C23),"",IF('Oper.St.'!C23=0,"",'Oper.St.'!C23))</f>
        <v>0.8</v>
      </c>
      <c r="C7" s="349">
        <f>IF(ISERROR('Oper.St.'!D23),"",IF('Oper.St.'!D23=0,"",'Oper.St.'!D23))</f>
        <v>1.05</v>
      </c>
      <c r="D7" s="349">
        <f>IF(ISERROR('Oper.St.'!E23),"",IF('Oper.St.'!E23=0,"",'Oper.St.'!E23))</f>
        <v>2.2000000000000002</v>
      </c>
      <c r="E7" s="349">
        <f>IF(ISERROR('Oper.St.'!F23),"",IF('Oper.St.'!F23=0,"",'Oper.St.'!F23))</f>
        <v>4</v>
      </c>
      <c r="F7" s="349">
        <f>IF(ISERROR('Oper.St.'!G23),"",IF('Oper.St.'!G23=0,"",'Oper.St.'!G23))</f>
        <v>20</v>
      </c>
      <c r="G7" s="349">
        <f>IF(ISERROR('Oper.St.'!H23),"",IF('Oper.St.'!H23=0,"",'Oper.St.'!H23))</f>
        <v>34.28</v>
      </c>
      <c r="H7" s="349">
        <f>IF(ISERROR('Oper.St.'!I23),"",IF('Oper.St.'!I23=0,"",'Oper.St.'!I23))</f>
        <v>40.42</v>
      </c>
      <c r="I7" s="349">
        <f>IF(ISERROR('Oper.St.'!J23),"",IF('Oper.St.'!J23=0,"",'Oper.St.'!J23))</f>
        <v>44.09</v>
      </c>
      <c r="J7" s="349">
        <f>IF(ISERROR('Oper.St.'!K23),"",IF('Oper.St.'!K23=0,"",'Oper.St.'!K23))</f>
        <v>47.96</v>
      </c>
      <c r="K7" s="349">
        <f>IF(ISERROR('Oper.St.'!L23),"",IF('Oper.St.'!L23=0,"",'Oper.St.'!L23))</f>
        <v>52.03</v>
      </c>
      <c r="L7" s="349">
        <f>IF(ISERROR('Oper.St.'!M23),"",IF('Oper.St.'!M23=0,"",'Oper.St.'!M23))</f>
        <v>56.2</v>
      </c>
      <c r="M7" s="349" t="str">
        <f>IF(ISERROR('Oper.St.'!N23),"",IF('Oper.St.'!N23=0,"",'Oper.St.'!N23))</f>
        <v/>
      </c>
      <c r="N7" s="349" t="str">
        <f>IF(ISERROR('Oper.St.'!O23),"",IF('Oper.St.'!O23=0,"",'Oper.St.'!O23))</f>
        <v/>
      </c>
      <c r="O7" s="349" t="str">
        <f>IF(ISERROR('Oper.St.'!P23),"",IF('Oper.St.'!P23=0,"",'Oper.St.'!P23))</f>
        <v/>
      </c>
      <c r="P7" s="349" t="str">
        <f>IF(ISERROR('Oper.St.'!Q23),"",IF('Oper.St.'!Q23=0,"",'Oper.St.'!Q23))</f>
        <v/>
      </c>
      <c r="Q7" s="349" t="str">
        <f>IF(ISERROR('Oper.St.'!R23),"",IF('Oper.St.'!R23=0,"",'Oper.St.'!R23))</f>
        <v/>
      </c>
      <c r="R7" s="349" t="str">
        <f>IF(ISERROR('Oper.St.'!S23),"",IF('Oper.St.'!S23=0,"",'Oper.St.'!S23))</f>
        <v/>
      </c>
      <c r="S7" s="349" t="str">
        <f>IF(ISERROR('Oper.St.'!T23),"",IF('Oper.St.'!T23=0,"",'Oper.St.'!T23))</f>
        <v/>
      </c>
      <c r="T7" s="349" t="str">
        <f>IF(ISERROR('Oper.St.'!U23),"",IF('Oper.St.'!U23=0,"",'Oper.St.'!U23))</f>
        <v/>
      </c>
      <c r="U7" s="349" t="str">
        <f>IF(ISERROR('Oper.St.'!V23),"",IF('Oper.St.'!V23=0,"",'Oper.St.'!V23))</f>
        <v/>
      </c>
      <c r="V7" s="615"/>
    </row>
    <row r="8" spans="1:22" s="355" customFormat="1" ht="11.1" customHeight="1" x14ac:dyDescent="0.2">
      <c r="A8" s="356"/>
      <c r="B8" s="357" t="str">
        <f>IF(INPUT!C26="","",CONCATENATE("(",INPUT!C26,")"))</f>
        <v/>
      </c>
      <c r="C8" s="357" t="str">
        <f>IF(INPUT!D26="","",CONCATENATE("(",INPUT!D26,")"))</f>
        <v/>
      </c>
      <c r="D8" s="357" t="str">
        <f>IF(INPUT!E26="","",CONCATENATE("(",INPUT!E26,")"))</f>
        <v/>
      </c>
      <c r="E8" s="357" t="str">
        <f>IF(INPUT!F26="","",CONCATENATE("(",INPUT!F26,")"))</f>
        <v/>
      </c>
      <c r="F8" s="357" t="str">
        <f>IF(INPUT!G26="","",CONCATENATE("(",INPUT!G26,")"))</f>
        <v/>
      </c>
      <c r="G8" s="357" t="str">
        <f>IF(INPUT!H26="","",CONCATENATE("(",INPUT!H26,")"))</f>
        <v/>
      </c>
      <c r="H8" s="357" t="str">
        <f>IF(INPUT!I26="","",CONCATENATE("(",INPUT!I26,")"))</f>
        <v/>
      </c>
      <c r="I8" s="357" t="str">
        <f>IF(INPUT!J26="","",CONCATENATE("(",INPUT!J26,")"))</f>
        <v/>
      </c>
      <c r="J8" s="357" t="str">
        <f>IF(INPUT!K26="","",CONCATENATE("(",INPUT!K26,")"))</f>
        <v/>
      </c>
      <c r="K8" s="357" t="str">
        <f>IF(INPUT!L26="","",CONCATENATE("(",INPUT!L26,")"))</f>
        <v/>
      </c>
      <c r="L8" s="357" t="str">
        <f>IF(INPUT!M26="","",CONCATENATE("(",INPUT!M26,")"))</f>
        <v/>
      </c>
      <c r="M8" s="357" t="str">
        <f>IF(INPUT!N26="","",CONCATENATE("(",INPUT!N26,")"))</f>
        <v/>
      </c>
      <c r="N8" s="357" t="str">
        <f>IF(INPUT!O26="","",CONCATENATE("(",INPUT!O26,")"))</f>
        <v/>
      </c>
      <c r="O8" s="357" t="str">
        <f>IF(INPUT!P26="","",CONCATENATE("(",INPUT!P26,")"))</f>
        <v/>
      </c>
      <c r="P8" s="357" t="str">
        <f>IF(INPUT!Q26="","",CONCATENATE("(",INPUT!Q26,")"))</f>
        <v/>
      </c>
      <c r="Q8" s="357" t="str">
        <f>IF(INPUT!R26="","",CONCATENATE("(",INPUT!R26,")"))</f>
        <v/>
      </c>
      <c r="R8" s="357" t="str">
        <f>IF(INPUT!S26="","",CONCATENATE("(",INPUT!S26,")"))</f>
        <v/>
      </c>
      <c r="S8" s="357" t="str">
        <f>IF(INPUT!T26="","",CONCATENATE("(",INPUT!T26,")"))</f>
        <v/>
      </c>
      <c r="T8" s="357" t="str">
        <f>IF(INPUT!U26="","",CONCATENATE("(",INPUT!U26,")"))</f>
        <v/>
      </c>
      <c r="U8" s="357" t="str">
        <f>IF(INPUT!V26="","",CONCATENATE("(",INPUT!V26,")"))</f>
        <v/>
      </c>
      <c r="V8" s="615"/>
    </row>
    <row r="9" spans="1:22" s="355" customFormat="1" ht="11.1" customHeight="1" x14ac:dyDescent="0.2">
      <c r="A9" s="354" t="s">
        <v>44</v>
      </c>
      <c r="B9" s="349">
        <f>IF(ISERROR('Oper.St.'!C14),"",IF('Oper.St.'!C14=0,"",'Oper.St.'!C14))</f>
        <v>0.8</v>
      </c>
      <c r="C9" s="349">
        <f>IF(ISERROR('Oper.St.'!D14),"",IF('Oper.St.'!D14=0,"",'Oper.St.'!D14))</f>
        <v>1.05</v>
      </c>
      <c r="D9" s="349">
        <f>IF(ISERROR('Oper.St.'!E14),"",IF('Oper.St.'!E14=0,"",'Oper.St.'!E14))</f>
        <v>2.2000000000000002</v>
      </c>
      <c r="E9" s="349">
        <f>IF(ISERROR('Oper.St.'!F14),"",IF('Oper.St.'!F14=0,"",'Oper.St.'!F14))</f>
        <v>4</v>
      </c>
      <c r="F9" s="349">
        <f>IF(ISERROR('Oper.St.'!G14),"",IF('Oper.St.'!G14=0,"",'Oper.St.'!G14))</f>
        <v>5</v>
      </c>
      <c r="G9" s="349">
        <f>IF(ISERROR('Oper.St.'!H14),"",IF('Oper.St.'!H14=0,"",'Oper.St.'!H14))</f>
        <v>6</v>
      </c>
      <c r="H9" s="349">
        <f>IF(ISERROR('Oper.St.'!I14),"",IF('Oper.St.'!I14=0,"",'Oper.St.'!I14))</f>
        <v>7</v>
      </c>
      <c r="I9" s="349">
        <f>IF(ISERROR('Oper.St.'!J14),"",IF('Oper.St.'!J14=0,"",'Oper.St.'!J14))</f>
        <v>8.1</v>
      </c>
      <c r="J9" s="349">
        <f>IF(ISERROR('Oper.St.'!K14),"",IF('Oper.St.'!K14=0,"",'Oper.St.'!K14))</f>
        <v>9.4</v>
      </c>
      <c r="K9" s="349">
        <f>IF(ISERROR('Oper.St.'!L14),"",IF('Oper.St.'!L14=0,"",'Oper.St.'!L14))</f>
        <v>10.9</v>
      </c>
      <c r="L9" s="349">
        <f>IF(ISERROR('Oper.St.'!M14),"",IF('Oper.St.'!M14=0,"",'Oper.St.'!M14))</f>
        <v>12.5</v>
      </c>
      <c r="M9" s="349" t="str">
        <f>IF(ISERROR('Oper.St.'!N14),"",IF('Oper.St.'!N14=0,"",'Oper.St.'!N14))</f>
        <v/>
      </c>
      <c r="N9" s="349" t="str">
        <f>IF(ISERROR('Oper.St.'!O14),"",IF('Oper.St.'!O14=0,"",'Oper.St.'!O14))</f>
        <v/>
      </c>
      <c r="O9" s="349" t="str">
        <f>IF(ISERROR('Oper.St.'!P14),"",IF('Oper.St.'!P14=0,"",'Oper.St.'!P14))</f>
        <v/>
      </c>
      <c r="P9" s="349" t="str">
        <f>IF(ISERROR('Oper.St.'!Q14),"",IF('Oper.St.'!Q14=0,"",'Oper.St.'!Q14))</f>
        <v/>
      </c>
      <c r="Q9" s="349" t="str">
        <f>IF(ISERROR('Oper.St.'!R14),"",IF('Oper.St.'!R14=0,"",'Oper.St.'!R14))</f>
        <v/>
      </c>
      <c r="R9" s="349" t="str">
        <f>IF(ISERROR('Oper.St.'!S14),"",IF('Oper.St.'!S14=0,"",'Oper.St.'!S14))</f>
        <v/>
      </c>
      <c r="S9" s="349" t="str">
        <f>IF(ISERROR('Oper.St.'!T14),"",IF('Oper.St.'!T14=0,"",'Oper.St.'!T14))</f>
        <v/>
      </c>
      <c r="T9" s="349" t="str">
        <f>IF(ISERROR('Oper.St.'!U14),"",IF('Oper.St.'!U14=0,"",'Oper.St.'!U14))</f>
        <v/>
      </c>
      <c r="U9" s="349" t="str">
        <f>IF(ISERROR('Oper.St.'!V14),"",IF('Oper.St.'!V14=0,"",'Oper.St.'!V14))</f>
        <v/>
      </c>
      <c r="V9" s="615"/>
    </row>
    <row r="10" spans="1:22" s="355" customFormat="1" ht="11.1" customHeight="1" x14ac:dyDescent="0.2">
      <c r="A10" s="356"/>
      <c r="B10" s="358" t="str">
        <f>IF(INPUT!C27="","",CONCATENATE("(",INPUT!C27,")"))</f>
        <v/>
      </c>
      <c r="C10" s="358" t="str">
        <f>IF(INPUT!D27="","",CONCATENATE("(",INPUT!D27,")"))</f>
        <v/>
      </c>
      <c r="D10" s="358" t="str">
        <f>IF(INPUT!E27="","",CONCATENATE("(",INPUT!E27,")"))</f>
        <v/>
      </c>
      <c r="E10" s="358" t="str">
        <f>IF(INPUT!F27="","",CONCATENATE("(",INPUT!F27,")"))</f>
        <v/>
      </c>
      <c r="F10" s="358" t="str">
        <f>IF(INPUT!G27="","",CONCATENATE("(",INPUT!G27,")"))</f>
        <v/>
      </c>
      <c r="G10" s="358" t="str">
        <f>IF(INPUT!H27="","",CONCATENATE("(",INPUT!H27,")"))</f>
        <v/>
      </c>
      <c r="H10" s="358" t="str">
        <f>IF(INPUT!I27="","",CONCATENATE("(",INPUT!I27,")"))</f>
        <v/>
      </c>
      <c r="I10" s="358" t="str">
        <f>IF(INPUT!J27="","",CONCATENATE("(",INPUT!J27,")"))</f>
        <v/>
      </c>
      <c r="J10" s="358" t="str">
        <f>IF(INPUT!K27="","",CONCATENATE("(",INPUT!K27,")"))</f>
        <v/>
      </c>
      <c r="K10" s="358" t="str">
        <f>IF(INPUT!L27="","",CONCATENATE("(",INPUT!L27,")"))</f>
        <v/>
      </c>
      <c r="L10" s="358" t="str">
        <f>IF(INPUT!M27="","",CONCATENATE("(",INPUT!M27,")"))</f>
        <v/>
      </c>
      <c r="M10" s="358" t="str">
        <f>IF(INPUT!N27="","",CONCATENATE("(",INPUT!N27,")"))</f>
        <v/>
      </c>
      <c r="N10" s="358" t="str">
        <f>IF(INPUT!O27="","",CONCATENATE("(",INPUT!O27,")"))</f>
        <v/>
      </c>
      <c r="O10" s="358" t="str">
        <f>IF(INPUT!P27="","",CONCATENATE("(",INPUT!P27,")"))</f>
        <v/>
      </c>
      <c r="P10" s="358" t="str">
        <f>IF(INPUT!Q27="","",CONCATENATE("(",INPUT!Q27,")"))</f>
        <v/>
      </c>
      <c r="Q10" s="358" t="str">
        <f>IF(INPUT!R27="","",CONCATENATE("(",INPUT!R27,")"))</f>
        <v/>
      </c>
      <c r="R10" s="358" t="str">
        <f>IF(INPUT!S27="","",CONCATENATE("(",INPUT!S27,")"))</f>
        <v/>
      </c>
      <c r="S10" s="358" t="str">
        <f>IF(INPUT!T27="","",CONCATENATE("(",INPUT!T27,")"))</f>
        <v/>
      </c>
      <c r="T10" s="358" t="str">
        <f>IF(INPUT!U27="","",CONCATENATE("(",INPUT!U27,")"))</f>
        <v/>
      </c>
      <c r="U10" s="358" t="str">
        <f>IF(INPUT!V27="","",CONCATENATE("(",INPUT!V27,")"))</f>
        <v/>
      </c>
      <c r="V10" s="615"/>
    </row>
    <row r="11" spans="1:22" s="355" customFormat="1" ht="11.1" customHeight="1" x14ac:dyDescent="0.2">
      <c r="A11" s="354" t="s">
        <v>437</v>
      </c>
      <c r="B11" s="349"/>
      <c r="C11" s="349"/>
      <c r="D11" s="349"/>
      <c r="E11" s="349"/>
      <c r="F11" s="349"/>
      <c r="G11" s="349"/>
      <c r="H11" s="349"/>
      <c r="I11" s="349"/>
      <c r="J11" s="349"/>
      <c r="K11" s="349"/>
      <c r="L11" s="349"/>
      <c r="M11" s="349"/>
      <c r="N11" s="349"/>
      <c r="O11" s="349"/>
      <c r="P11" s="349"/>
      <c r="Q11" s="349"/>
      <c r="R11" s="349"/>
      <c r="S11" s="349"/>
      <c r="T11" s="349"/>
      <c r="U11" s="349"/>
      <c r="V11" s="615"/>
    </row>
    <row r="12" spans="1:22" s="355" customFormat="1" ht="11.1" customHeight="1" x14ac:dyDescent="0.2">
      <c r="A12" s="356"/>
      <c r="B12" s="358" t="str">
        <f>IF(INPUT!C28="","",CONCATENATE("(",INPUT!C28,")"))</f>
        <v/>
      </c>
      <c r="C12" s="358" t="str">
        <f>IF(INPUT!D28="","",CONCATENATE("(",INPUT!D28,")"))</f>
        <v/>
      </c>
      <c r="D12" s="358" t="str">
        <f>IF(INPUT!E28="","",CONCATENATE("(",INPUT!E28,")"))</f>
        <v/>
      </c>
      <c r="E12" s="358" t="str">
        <f>IF(INPUT!F28="","",CONCATENATE("(",INPUT!F28,")"))</f>
        <v/>
      </c>
      <c r="F12" s="358" t="str">
        <f>IF(INPUT!G28="","",CONCATENATE("(",INPUT!G28,")"))</f>
        <v/>
      </c>
      <c r="G12" s="358" t="str">
        <f>IF(INPUT!H28="","",CONCATENATE("(",INPUT!H28,")"))</f>
        <v/>
      </c>
      <c r="H12" s="358" t="str">
        <f>IF(INPUT!I28="","",CONCATENATE("(",INPUT!I28,")"))</f>
        <v/>
      </c>
      <c r="I12" s="358" t="str">
        <f>IF(INPUT!J28="","",CONCATENATE("(",INPUT!J28,")"))</f>
        <v/>
      </c>
      <c r="J12" s="358" t="str">
        <f>IF(INPUT!K28="","",CONCATENATE("(",INPUT!K28,")"))</f>
        <v/>
      </c>
      <c r="K12" s="358" t="str">
        <f>IF(INPUT!L28="","",CONCATENATE("(",INPUT!L28,")"))</f>
        <v/>
      </c>
      <c r="L12" s="358" t="str">
        <f>IF(INPUT!M28="","",CONCATENATE("(",INPUT!M28,")"))</f>
        <v/>
      </c>
      <c r="M12" s="358" t="str">
        <f>IF(INPUT!N28="","",CONCATENATE("(",INPUT!N28,")"))</f>
        <v/>
      </c>
      <c r="N12" s="358" t="str">
        <f>IF(INPUT!O28="","",CONCATENATE("(",INPUT!O28,")"))</f>
        <v/>
      </c>
      <c r="O12" s="358" t="str">
        <f>IF(INPUT!P28="","",CONCATENATE("(",INPUT!P28,")"))</f>
        <v/>
      </c>
      <c r="P12" s="358" t="str">
        <f>IF(INPUT!Q28="","",CONCATENATE("(",INPUT!Q28,")"))</f>
        <v/>
      </c>
      <c r="Q12" s="358" t="str">
        <f>IF(INPUT!R28="","",CONCATENATE("(",INPUT!R28,")"))</f>
        <v/>
      </c>
      <c r="R12" s="358" t="str">
        <f>IF(INPUT!S28="","",CONCATENATE("(",INPUT!S28,")"))</f>
        <v/>
      </c>
      <c r="S12" s="358" t="str">
        <f>IF(INPUT!T28="","",CONCATENATE("(",INPUT!T28,")"))</f>
        <v/>
      </c>
      <c r="T12" s="358" t="str">
        <f>IF(INPUT!U28="","",CONCATENATE("(",INPUT!U28,")"))</f>
        <v/>
      </c>
      <c r="U12" s="358" t="str">
        <f>IF(INPUT!V28="","",CONCATENATE("(",INPUT!V28,")"))</f>
        <v/>
      </c>
      <c r="V12" s="615"/>
    </row>
    <row r="13" spans="1:22" s="355" customFormat="1" ht="11.1" customHeight="1" x14ac:dyDescent="0.2">
      <c r="A13" s="354" t="s">
        <v>486</v>
      </c>
      <c r="B13" s="349"/>
      <c r="C13" s="349"/>
      <c r="D13" s="349"/>
      <c r="E13" s="349"/>
      <c r="F13" s="349"/>
      <c r="G13" s="349"/>
      <c r="H13" s="349"/>
      <c r="I13" s="349"/>
      <c r="J13" s="349"/>
      <c r="K13" s="349"/>
      <c r="L13" s="349"/>
      <c r="M13" s="349"/>
      <c r="N13" s="349"/>
      <c r="O13" s="349"/>
      <c r="P13" s="349"/>
      <c r="Q13" s="349"/>
      <c r="R13" s="349"/>
      <c r="S13" s="349"/>
      <c r="T13" s="349"/>
      <c r="U13" s="349"/>
      <c r="V13" s="615"/>
    </row>
    <row r="14" spans="1:22" s="355" customFormat="1" ht="11.1" customHeight="1" x14ac:dyDescent="0.2">
      <c r="A14" s="356"/>
      <c r="B14" s="358" t="str">
        <f>IF(INPUT!C29="","",CONCATENATE("(",INPUT!C29,")"))</f>
        <v/>
      </c>
      <c r="C14" s="358" t="str">
        <f>IF(INPUT!D29="","",CONCATENATE("(",INPUT!D29,")"))</f>
        <v/>
      </c>
      <c r="D14" s="358" t="str">
        <f>IF(INPUT!E29="","",CONCATENATE("(",INPUT!E29,")"))</f>
        <v/>
      </c>
      <c r="E14" s="358" t="str">
        <f>IF(INPUT!F29="","",CONCATENATE("(",INPUT!F29,")"))</f>
        <v/>
      </c>
      <c r="F14" s="358" t="str">
        <f>IF(INPUT!G29="","",CONCATENATE("(",INPUT!G29,")"))</f>
        <v/>
      </c>
      <c r="G14" s="358" t="str">
        <f>IF(INPUT!H29="","",CONCATENATE("(",INPUT!H29,")"))</f>
        <v/>
      </c>
      <c r="H14" s="358" t="str">
        <f>IF(INPUT!I29="","",CONCATENATE("(",INPUT!I29,")"))</f>
        <v/>
      </c>
      <c r="I14" s="358" t="str">
        <f>IF(INPUT!J29="","",CONCATENATE("(",INPUT!J29,")"))</f>
        <v/>
      </c>
      <c r="J14" s="358" t="str">
        <f>IF(INPUT!K29="","",CONCATENATE("(",INPUT!K29,")"))</f>
        <v/>
      </c>
      <c r="K14" s="358" t="str">
        <f>IF(INPUT!L29="","",CONCATENATE("(",INPUT!L29,")"))</f>
        <v/>
      </c>
      <c r="L14" s="358" t="str">
        <f>IF(INPUT!M29="","",CONCATENATE("(",INPUT!M29,")"))</f>
        <v/>
      </c>
      <c r="M14" s="358" t="str">
        <f>IF(INPUT!N29="","",CONCATENATE("(",INPUT!N29,")"))</f>
        <v/>
      </c>
      <c r="N14" s="358" t="str">
        <f>IF(INPUT!O29="","",CONCATENATE("(",INPUT!O29,")"))</f>
        <v/>
      </c>
      <c r="O14" s="358" t="str">
        <f>IF(INPUT!P29="","",CONCATENATE("(",INPUT!P29,")"))</f>
        <v/>
      </c>
      <c r="P14" s="358" t="str">
        <f>IF(INPUT!Q29="","",CONCATENATE("(",INPUT!Q29,")"))</f>
        <v/>
      </c>
      <c r="Q14" s="358" t="str">
        <f>IF(INPUT!R29="","",CONCATENATE("(",INPUT!R29,")"))</f>
        <v/>
      </c>
      <c r="R14" s="358" t="str">
        <f>IF(INPUT!S29="","",CONCATENATE("(",INPUT!S29,")"))</f>
        <v/>
      </c>
      <c r="S14" s="358" t="str">
        <f>IF(INPUT!T29="","",CONCATENATE("(",INPUT!T29,")"))</f>
        <v/>
      </c>
      <c r="T14" s="358" t="str">
        <f>IF(INPUT!U29="","",CONCATENATE("(",INPUT!U29,")"))</f>
        <v/>
      </c>
      <c r="U14" s="358" t="str">
        <f>IF(INPUT!V29="","",CONCATENATE("(",INPUT!V29,")"))</f>
        <v/>
      </c>
      <c r="V14" s="615"/>
    </row>
    <row r="15" spans="1:22" s="355" customFormat="1" ht="11.1" customHeight="1" x14ac:dyDescent="0.2">
      <c r="A15" s="354" t="s">
        <v>53</v>
      </c>
      <c r="B15" s="349" t="str">
        <f>IF(ISERROR('Oper.St.'!C34),"",IF('Oper.St.'!C34=0,"",'Oper.St.'!C34))</f>
        <v/>
      </c>
      <c r="C15" s="349" t="str">
        <f>IF(ISERROR('Oper.St.'!D34),"",IF('Oper.St.'!D34=0,"",'Oper.St.'!D34))</f>
        <v/>
      </c>
      <c r="D15" s="349" t="str">
        <f>IF(ISERROR('Oper.St.'!E34),"",IF('Oper.St.'!E34=0,"",'Oper.St.'!E34))</f>
        <v/>
      </c>
      <c r="E15" s="349" t="str">
        <f>IF(ISERROR('Oper.St.'!F34),"",IF('Oper.St.'!F34=0,"",'Oper.St.'!F34))</f>
        <v/>
      </c>
      <c r="F15" s="349">
        <f>IF(ISERROR('Oper.St.'!G34),"",IF('Oper.St.'!G34=0,"",'Oper.St.'!G34))</f>
        <v>8.5399999999999991</v>
      </c>
      <c r="G15" s="349">
        <f>IF(ISERROR('Oper.St.'!H34),"",IF('Oper.St.'!H34=0,"",'Oper.St.'!H34))</f>
        <v>13.93</v>
      </c>
      <c r="H15" s="349">
        <f>IF(ISERROR('Oper.St.'!I34),"",IF('Oper.St.'!I34=0,"",'Oper.St.'!I34))</f>
        <v>18.25</v>
      </c>
      <c r="I15" s="349">
        <f>IF(ISERROR('Oper.St.'!J34),"",IF('Oper.St.'!J34=0,"",'Oper.St.'!J34))</f>
        <v>19.399999999999999</v>
      </c>
      <c r="J15" s="349">
        <f>IF(ISERROR('Oper.St.'!K34),"",IF('Oper.St.'!K34=0,"",'Oper.St.'!K34))</f>
        <v>21.5</v>
      </c>
      <c r="K15" s="349">
        <f>IF(ISERROR('Oper.St.'!L34),"",IF('Oper.St.'!L34=0,"",'Oper.St.'!L34))</f>
        <v>23.3</v>
      </c>
      <c r="L15" s="349">
        <f>IF(ISERROR('Oper.St.'!M34),"",IF('Oper.St.'!M34=0,"",'Oper.St.'!M34))</f>
        <v>25</v>
      </c>
      <c r="M15" s="349" t="str">
        <f>IF(ISERROR('Oper.St.'!N34),"",IF('Oper.St.'!N34=0,"",'Oper.St.'!N34))</f>
        <v/>
      </c>
      <c r="N15" s="349" t="str">
        <f>IF(ISERROR('Oper.St.'!O34),"",IF('Oper.St.'!O34=0,"",'Oper.St.'!O34))</f>
        <v/>
      </c>
      <c r="O15" s="349" t="str">
        <f>IF(ISERROR('Oper.St.'!P34),"",IF('Oper.St.'!P34=0,"",'Oper.St.'!P34))</f>
        <v/>
      </c>
      <c r="P15" s="349" t="str">
        <f>IF(ISERROR('Oper.St.'!Q34),"",IF('Oper.St.'!Q34=0,"",'Oper.St.'!Q34))</f>
        <v/>
      </c>
      <c r="Q15" s="349" t="str">
        <f>IF(ISERROR('Oper.St.'!R34),"",IF('Oper.St.'!R34=0,"",'Oper.St.'!R34))</f>
        <v/>
      </c>
      <c r="R15" s="349" t="str">
        <f>IF(ISERROR('Oper.St.'!S34),"",IF('Oper.St.'!S34=0,"",'Oper.St.'!S34))</f>
        <v/>
      </c>
      <c r="S15" s="349" t="str">
        <f>IF(ISERROR('Oper.St.'!T34),"",IF('Oper.St.'!T34=0,"",'Oper.St.'!T34))</f>
        <v/>
      </c>
      <c r="T15" s="349" t="str">
        <f>IF(ISERROR('Oper.St.'!U34),"",IF('Oper.St.'!U34=0,"",'Oper.St.'!U34))</f>
        <v/>
      </c>
      <c r="U15" s="349" t="str">
        <f>IF(ISERROR('Oper.St.'!V34),"",IF('Oper.St.'!V34=0,"",'Oper.St.'!V34))</f>
        <v/>
      </c>
      <c r="V15" s="615"/>
    </row>
    <row r="16" spans="1:22" s="355" customFormat="1" ht="11.1" customHeight="1" x14ac:dyDescent="0.2">
      <c r="A16" s="356"/>
      <c r="B16" s="358" t="str">
        <f>IF(INPUT!C30="","",CONCATENATE("(",INPUT!C30,")"))</f>
        <v/>
      </c>
      <c r="C16" s="358" t="str">
        <f>IF(INPUT!D30="","",CONCATENATE("(",INPUT!D30,")"))</f>
        <v/>
      </c>
      <c r="D16" s="358" t="str">
        <f>IF(INPUT!E30="","",CONCATENATE("(",INPUT!E30,")"))</f>
        <v/>
      </c>
      <c r="E16" s="358" t="str">
        <f>IF(INPUT!F30="","",CONCATENATE("(",INPUT!F30,")"))</f>
        <v/>
      </c>
      <c r="F16" s="358" t="str">
        <f>IF(INPUT!G30="","",CONCATENATE("(",INPUT!G30,")"))</f>
        <v/>
      </c>
      <c r="G16" s="358" t="str">
        <f>IF(INPUT!H30="","",CONCATENATE("(",INPUT!H30,")"))</f>
        <v/>
      </c>
      <c r="H16" s="358" t="str">
        <f>IF(INPUT!I30="","",CONCATENATE("(",INPUT!I30,")"))</f>
        <v/>
      </c>
      <c r="I16" s="358" t="str">
        <f>IF(INPUT!J30="","",CONCATENATE("(",INPUT!J30,")"))</f>
        <v/>
      </c>
      <c r="J16" s="358" t="str">
        <f>IF(INPUT!K30="","",CONCATENATE("(",INPUT!K30,")"))</f>
        <v/>
      </c>
      <c r="K16" s="358" t="str">
        <f>IF(INPUT!L30="","",CONCATENATE("(",INPUT!L30,")"))</f>
        <v/>
      </c>
      <c r="L16" s="358" t="str">
        <f>IF(INPUT!M30="","",CONCATENATE("(",INPUT!M30,")"))</f>
        <v/>
      </c>
      <c r="M16" s="358" t="str">
        <f>IF(INPUT!N30="","",CONCATENATE("(",INPUT!N30,")"))</f>
        <v/>
      </c>
      <c r="N16" s="358" t="str">
        <f>IF(INPUT!O30="","",CONCATENATE("(",INPUT!O30,")"))</f>
        <v/>
      </c>
      <c r="O16" s="358" t="str">
        <f>IF(INPUT!P30="","",CONCATENATE("(",INPUT!P30,")"))</f>
        <v/>
      </c>
      <c r="P16" s="358" t="str">
        <f>IF(INPUT!Q30="","",CONCATENATE("(",INPUT!Q30,")"))</f>
        <v/>
      </c>
      <c r="Q16" s="358" t="str">
        <f>IF(INPUT!R30="","",CONCATENATE("(",INPUT!R30,")"))</f>
        <v/>
      </c>
      <c r="R16" s="358" t="str">
        <f>IF(INPUT!S30="","",CONCATENATE("(",INPUT!S30,")"))</f>
        <v/>
      </c>
      <c r="S16" s="358" t="str">
        <f>IF(INPUT!T30="","",CONCATENATE("(",INPUT!T30,")"))</f>
        <v/>
      </c>
      <c r="T16" s="358" t="str">
        <f>IF(INPUT!U30="","",CONCATENATE("(",INPUT!U30,")"))</f>
        <v/>
      </c>
      <c r="U16" s="358" t="str">
        <f>IF(INPUT!V30="","",CONCATENATE("(",INPUT!V30,")"))</f>
        <v/>
      </c>
      <c r="V16" s="615"/>
    </row>
    <row r="17" spans="1:22" s="355" customFormat="1" ht="11.1" customHeight="1" x14ac:dyDescent="0.2">
      <c r="A17" s="354" t="s">
        <v>54</v>
      </c>
      <c r="B17" s="349" t="str">
        <f>IF(ISERROR('Oper.St.'!C40),"",IF('Oper.St.'!C40=0,"",'Oper.St.'!C40))</f>
        <v/>
      </c>
      <c r="C17" s="349" t="str">
        <f>IF(ISERROR('Oper.St.'!D40),"",IF('Oper.St.'!D40=0,"",'Oper.St.'!D40))</f>
        <v/>
      </c>
      <c r="D17" s="349" t="str">
        <f>IF(ISERROR('Oper.St.'!E40),"",IF('Oper.St.'!E40=0,"",'Oper.St.'!E40))</f>
        <v/>
      </c>
      <c r="E17" s="349" t="str">
        <f>IF(ISERROR('Oper.St.'!F40),"",IF('Oper.St.'!F40=0,"",'Oper.St.'!F40))</f>
        <v/>
      </c>
      <c r="F17" s="349">
        <f>IF(ISERROR('Oper.St.'!G40),"",IF('Oper.St.'!G40=0,"",'Oper.St.'!G40))</f>
        <v>0.75</v>
      </c>
      <c r="G17" s="349">
        <f>IF(ISERROR('Oper.St.'!H40),"",IF('Oper.St.'!H40=0,"",'Oper.St.'!H40))</f>
        <v>1.41</v>
      </c>
      <c r="H17" s="349">
        <f>IF(ISERROR('Oper.St.'!I40),"",IF('Oper.St.'!I40=0,"",'Oper.St.'!I40))</f>
        <v>1.67</v>
      </c>
      <c r="I17" s="349">
        <f>IF(ISERROR('Oper.St.'!J40),"",IF('Oper.St.'!J40=0,"",'Oper.St.'!J40))</f>
        <v>1.8</v>
      </c>
      <c r="J17" s="349">
        <f>IF(ISERROR('Oper.St.'!K40),"",IF('Oper.St.'!K40=0,"",'Oper.St.'!K40))</f>
        <v>1.93</v>
      </c>
      <c r="K17" s="349">
        <f>IF(ISERROR('Oper.St.'!L40),"",IF('Oper.St.'!L40=0,"",'Oper.St.'!L40))</f>
        <v>2.06</v>
      </c>
      <c r="L17" s="349">
        <f>IF(ISERROR('Oper.St.'!M40),"",IF('Oper.St.'!M40=0,"",'Oper.St.'!M40))</f>
        <v>2.19</v>
      </c>
      <c r="M17" s="349" t="str">
        <f>IF(ISERROR('Oper.St.'!N40),"",IF('Oper.St.'!N40=0,"",'Oper.St.'!N40))</f>
        <v/>
      </c>
      <c r="N17" s="349" t="str">
        <f>IF(ISERROR('Oper.St.'!O40),"",IF('Oper.St.'!O40=0,"",'Oper.St.'!O40))</f>
        <v/>
      </c>
      <c r="O17" s="349" t="str">
        <f>IF(ISERROR('Oper.St.'!P40),"",IF('Oper.St.'!P40=0,"",'Oper.St.'!P40))</f>
        <v/>
      </c>
      <c r="P17" s="349" t="str">
        <f>IF(ISERROR('Oper.St.'!Q40),"",IF('Oper.St.'!Q40=0,"",'Oper.St.'!Q40))</f>
        <v/>
      </c>
      <c r="Q17" s="349" t="str">
        <f>IF(ISERROR('Oper.St.'!R40),"",IF('Oper.St.'!R40=0,"",'Oper.St.'!R40))</f>
        <v/>
      </c>
      <c r="R17" s="349" t="str">
        <f>IF(ISERROR('Oper.St.'!S40),"",IF('Oper.St.'!S40=0,"",'Oper.St.'!S40))</f>
        <v/>
      </c>
      <c r="S17" s="349" t="str">
        <f>IF(ISERROR('Oper.St.'!T40),"",IF('Oper.St.'!T40=0,"",'Oper.St.'!T40))</f>
        <v/>
      </c>
      <c r="T17" s="349" t="str">
        <f>IF(ISERROR('Oper.St.'!U40),"",IF('Oper.St.'!U40=0,"",'Oper.St.'!U40))</f>
        <v/>
      </c>
      <c r="U17" s="349" t="str">
        <f>IF(ISERROR('Oper.St.'!V40),"",IF('Oper.St.'!V40=0,"",'Oper.St.'!V40))</f>
        <v/>
      </c>
      <c r="V17" s="615"/>
    </row>
    <row r="18" spans="1:22" s="355" customFormat="1" ht="11.1" customHeight="1" x14ac:dyDescent="0.2">
      <c r="A18" s="356"/>
      <c r="B18" s="358" t="str">
        <f>IF(INPUT!C31="","",CONCATENATE("(",INPUT!C31,")"))</f>
        <v/>
      </c>
      <c r="C18" s="358" t="str">
        <f>IF(INPUT!D31="","",CONCATENATE("(",INPUT!D31,")"))</f>
        <v/>
      </c>
      <c r="D18" s="358" t="str">
        <f>IF(INPUT!E31="","",CONCATENATE("(",INPUT!E31,")"))</f>
        <v/>
      </c>
      <c r="E18" s="358" t="str">
        <f>IF(INPUT!F31="","",CONCATENATE("(",INPUT!F31,")"))</f>
        <v/>
      </c>
      <c r="F18" s="358" t="str">
        <f>IF(INPUT!G31="","",CONCATENATE("(",INPUT!G31,")"))</f>
        <v/>
      </c>
      <c r="G18" s="358" t="str">
        <f>IF(INPUT!H31="","",CONCATENATE("(",INPUT!H31,")"))</f>
        <v/>
      </c>
      <c r="H18" s="358" t="str">
        <f>IF(INPUT!I31="","",CONCATENATE("(",INPUT!I31,")"))</f>
        <v/>
      </c>
      <c r="I18" s="358" t="str">
        <f>IF(INPUT!J31="","",CONCATENATE("(",INPUT!J31,")"))</f>
        <v/>
      </c>
      <c r="J18" s="358" t="str">
        <f>IF(INPUT!K31="","",CONCATENATE("(",INPUT!K31,")"))</f>
        <v/>
      </c>
      <c r="K18" s="358" t="str">
        <f>IF(INPUT!L31="","",CONCATENATE("(",INPUT!L31,")"))</f>
        <v/>
      </c>
      <c r="L18" s="358" t="str">
        <f>IF(INPUT!M31="","",CONCATENATE("(",INPUT!M31,")"))</f>
        <v/>
      </c>
      <c r="M18" s="358" t="str">
        <f>IF(INPUT!N31="","",CONCATENATE("(",INPUT!N31,")"))</f>
        <v/>
      </c>
      <c r="N18" s="358" t="str">
        <f>IF(INPUT!O31="","",CONCATENATE("(",INPUT!O31,")"))</f>
        <v/>
      </c>
      <c r="O18" s="358" t="str">
        <f>IF(INPUT!P31="","",CONCATENATE("(",INPUT!P31,")"))</f>
        <v/>
      </c>
      <c r="P18" s="358" t="str">
        <f>IF(INPUT!Q31="","",CONCATENATE("(",INPUT!Q31,")"))</f>
        <v/>
      </c>
      <c r="Q18" s="358" t="str">
        <f>IF(INPUT!R31="","",CONCATENATE("(",INPUT!R31,")"))</f>
        <v/>
      </c>
      <c r="R18" s="358" t="str">
        <f>IF(INPUT!S31="","",CONCATENATE("(",INPUT!S31,")"))</f>
        <v/>
      </c>
      <c r="S18" s="358" t="str">
        <f>IF(INPUT!T31="","",CONCATENATE("(",INPUT!T31,")"))</f>
        <v/>
      </c>
      <c r="T18" s="358" t="str">
        <f>IF(INPUT!U31="","",CONCATENATE("(",INPUT!U31,")"))</f>
        <v/>
      </c>
      <c r="U18" s="358" t="str">
        <f>IF(INPUT!V31="","",CONCATENATE("(",INPUT!V31,")"))</f>
        <v/>
      </c>
      <c r="V18" s="615"/>
    </row>
    <row r="19" spans="1:22" s="355" customFormat="1" ht="11.1" customHeight="1" x14ac:dyDescent="0.2">
      <c r="A19" s="354" t="s">
        <v>55</v>
      </c>
      <c r="B19" s="349" t="str">
        <f>IF(ISERROR('Oper.St.'!C42),"",IF('Oper.St.'!C42=0,"",'Oper.St.'!C42))</f>
        <v/>
      </c>
      <c r="C19" s="349" t="str">
        <f>IF(ISERROR('Oper.St.'!D42),"",IF('Oper.St.'!D42=0,"",'Oper.St.'!D42))</f>
        <v/>
      </c>
      <c r="D19" s="349" t="str">
        <f>IF(ISERROR('Oper.St.'!E42),"",IF('Oper.St.'!E42=0,"",'Oper.St.'!E42))</f>
        <v/>
      </c>
      <c r="E19" s="349" t="str">
        <f>IF(ISERROR('Oper.St.'!F42),"",IF('Oper.St.'!F42=0,"",'Oper.St.'!F42))</f>
        <v/>
      </c>
      <c r="F19" s="349">
        <f>IF(ISERROR('Oper.St.'!G42),"",IF('Oper.St.'!G42=0,"",'Oper.St.'!G42))</f>
        <v>3</v>
      </c>
      <c r="G19" s="349">
        <f>IF(ISERROR('Oper.St.'!H42),"",IF('Oper.St.'!H42=0,"",'Oper.St.'!H42))</f>
        <v>5.66</v>
      </c>
      <c r="H19" s="349">
        <f>IF(ISERROR('Oper.St.'!I42),"",IF('Oper.St.'!I42=0,"",'Oper.St.'!I42))</f>
        <v>6.68</v>
      </c>
      <c r="I19" s="349">
        <f>IF(ISERROR('Oper.St.'!J42),"",IF('Oper.St.'!J42=0,"",'Oper.St.'!J42))</f>
        <v>7.2</v>
      </c>
      <c r="J19" s="349">
        <f>IF(ISERROR('Oper.St.'!K42),"",IF('Oper.St.'!K42=0,"",'Oper.St.'!K42))</f>
        <v>7.71</v>
      </c>
      <c r="K19" s="349">
        <f>IF(ISERROR('Oper.St.'!L42),"",IF('Oper.St.'!L42=0,"",'Oper.St.'!L42))</f>
        <v>8.23</v>
      </c>
      <c r="L19" s="349">
        <f>IF(ISERROR('Oper.St.'!M42),"",IF('Oper.St.'!M42=0,"",'Oper.St.'!M42))</f>
        <v>8.74</v>
      </c>
      <c r="M19" s="349" t="str">
        <f>IF(ISERROR('Oper.St.'!N42),"",IF('Oper.St.'!N42=0,"",'Oper.St.'!N42))</f>
        <v/>
      </c>
      <c r="N19" s="349" t="str">
        <f>IF(ISERROR('Oper.St.'!O42),"",IF('Oper.St.'!O42=0,"",'Oper.St.'!O42))</f>
        <v/>
      </c>
      <c r="O19" s="349" t="str">
        <f>IF(ISERROR('Oper.St.'!P42),"",IF('Oper.St.'!P42=0,"",'Oper.St.'!P42))</f>
        <v/>
      </c>
      <c r="P19" s="349" t="str">
        <f>IF(ISERROR('Oper.St.'!Q42),"",IF('Oper.St.'!Q42=0,"",'Oper.St.'!Q42))</f>
        <v/>
      </c>
      <c r="Q19" s="349" t="str">
        <f>IF(ISERROR('Oper.St.'!R42),"",IF('Oper.St.'!R42=0,"",'Oper.St.'!R42))</f>
        <v/>
      </c>
      <c r="R19" s="349" t="str">
        <f>IF(ISERROR('Oper.St.'!S42),"",IF('Oper.St.'!S42=0,"",'Oper.St.'!S42))</f>
        <v/>
      </c>
      <c r="S19" s="349" t="str">
        <f>IF(ISERROR('Oper.St.'!T42),"",IF('Oper.St.'!T42=0,"",'Oper.St.'!T42))</f>
        <v/>
      </c>
      <c r="T19" s="349" t="str">
        <f>IF(ISERROR('Oper.St.'!U42),"",IF('Oper.St.'!U42=0,"",'Oper.St.'!U42))</f>
        <v/>
      </c>
      <c r="U19" s="349" t="str">
        <f>IF(ISERROR('Oper.St.'!V42),"",IF('Oper.St.'!V42=0,"",'Oper.St.'!V42))</f>
        <v/>
      </c>
      <c r="V19" s="615"/>
    </row>
    <row r="20" spans="1:22" s="355" customFormat="1" ht="11.1" customHeight="1" x14ac:dyDescent="0.2">
      <c r="A20" s="356"/>
      <c r="B20" s="358" t="str">
        <f>IF(INPUT!C32="","",CONCATENATE("(",INPUT!C32,")"))</f>
        <v/>
      </c>
      <c r="C20" s="358" t="str">
        <f>IF(INPUT!D32="","",CONCATENATE("(",INPUT!D32,")"))</f>
        <v/>
      </c>
      <c r="D20" s="358" t="str">
        <f>IF(INPUT!E32="","",CONCATENATE("(",INPUT!E32,")"))</f>
        <v/>
      </c>
      <c r="E20" s="358" t="str">
        <f>IF(INPUT!F32="","",CONCATENATE("(",INPUT!F32,")"))</f>
        <v/>
      </c>
      <c r="F20" s="358" t="str">
        <f>IF(INPUT!G32="","",CONCATENATE("(",INPUT!G32,")"))</f>
        <v/>
      </c>
      <c r="G20" s="358" t="str">
        <f>IF(INPUT!H32="","",CONCATENATE("(",INPUT!H32,")"))</f>
        <v/>
      </c>
      <c r="H20" s="358" t="str">
        <f>IF(INPUT!I32="","",CONCATENATE("(",INPUT!I32,")"))</f>
        <v/>
      </c>
      <c r="I20" s="358" t="str">
        <f>IF(INPUT!J32="","",CONCATENATE("(",INPUT!J32,")"))</f>
        <v/>
      </c>
      <c r="J20" s="358" t="str">
        <f>IF(INPUT!K32="","",CONCATENATE("(",INPUT!K32,")"))</f>
        <v/>
      </c>
      <c r="K20" s="358" t="str">
        <f>IF(INPUT!L32="","",CONCATENATE("(",INPUT!L32,")"))</f>
        <v/>
      </c>
      <c r="L20" s="358" t="str">
        <f>IF(INPUT!M32="","",CONCATENATE("(",INPUT!M32,")"))</f>
        <v/>
      </c>
      <c r="M20" s="358" t="str">
        <f>IF(INPUT!N32="","",CONCATENATE("(",INPUT!N32,")"))</f>
        <v/>
      </c>
      <c r="N20" s="358" t="str">
        <f>IF(INPUT!O32="","",CONCATENATE("(",INPUT!O32,")"))</f>
        <v/>
      </c>
      <c r="O20" s="358" t="str">
        <f>IF(INPUT!P32="","",CONCATENATE("(",INPUT!P32,")"))</f>
        <v/>
      </c>
      <c r="P20" s="358" t="str">
        <f>IF(INPUT!Q32="","",CONCATENATE("(",INPUT!Q32,")"))</f>
        <v/>
      </c>
      <c r="Q20" s="358" t="str">
        <f>IF(INPUT!R32="","",CONCATENATE("(",INPUT!R32,")"))</f>
        <v/>
      </c>
      <c r="R20" s="358" t="str">
        <f>IF(INPUT!S32="","",CONCATENATE("(",INPUT!S32,")"))</f>
        <v/>
      </c>
      <c r="S20" s="358" t="str">
        <f>IF(INPUT!T32="","",CONCATENATE("(",INPUT!T32,")"))</f>
        <v/>
      </c>
      <c r="T20" s="358" t="str">
        <f>IF(INPUT!U32="","",CONCATENATE("(",INPUT!U32,")"))</f>
        <v/>
      </c>
      <c r="U20" s="358" t="str">
        <f>IF(INPUT!V32="","",CONCATENATE("(",INPUT!V32,")"))</f>
        <v/>
      </c>
      <c r="V20" s="615"/>
    </row>
    <row r="21" spans="1:22" s="355" customFormat="1" ht="11.1" customHeight="1" x14ac:dyDescent="0.2">
      <c r="A21" s="354" t="s">
        <v>57</v>
      </c>
      <c r="B21" s="349">
        <f>IF(ISERROR('Oper.St.'!C67),"",IF('Oper.St.'!C67=0,"",'Oper.St.'!C67))</f>
        <v>0.67</v>
      </c>
      <c r="C21" s="349">
        <f>IF(ISERROR('Oper.St.'!D67),"",IF('Oper.St.'!D67=0,"",'Oper.St.'!D67))</f>
        <v>0.9</v>
      </c>
      <c r="D21" s="349">
        <f>IF(ISERROR('Oper.St.'!E67),"",IF('Oper.St.'!E67=0,"",'Oper.St.'!E67))</f>
        <v>1.75</v>
      </c>
      <c r="E21" s="349">
        <f>IF(ISERROR('Oper.St.'!F67),"",IF('Oper.St.'!F67=0,"",'Oper.St.'!F67))</f>
        <v>3.2</v>
      </c>
      <c r="F21" s="349">
        <f>IF(ISERROR('Oper.St.'!G67),"",IF('Oper.St.'!G67=0,"",'Oper.St.'!G67))</f>
        <v>6.41</v>
      </c>
      <c r="G21" s="349">
        <f>IF(ISERROR('Oper.St.'!H67),"",IF('Oper.St.'!H67=0,"",'Oper.St.'!H67))</f>
        <v>8.5200000000000014</v>
      </c>
      <c r="H21" s="349">
        <f>IF(ISERROR('Oper.St.'!I67),"",IF('Oper.St.'!I67=0,"",'Oper.St.'!I67))</f>
        <v>9.75</v>
      </c>
      <c r="I21" s="349">
        <f>IF(ISERROR('Oper.St.'!J67),"",IF('Oper.St.'!J67=0,"",'Oper.St.'!J67))</f>
        <v>10.850000000000001</v>
      </c>
      <c r="J21" s="349">
        <f>IF(ISERROR('Oper.St.'!K67),"",IF('Oper.St.'!K67=0,"",'Oper.St.'!K67))</f>
        <v>12.120000000000001</v>
      </c>
      <c r="K21" s="349">
        <f>IF(ISERROR('Oper.St.'!L67),"",IF('Oper.St.'!L67=0,"",'Oper.St.'!L67))</f>
        <v>13.59</v>
      </c>
      <c r="L21" s="349">
        <f>IF(ISERROR('Oper.St.'!M67),"",IF('Oper.St.'!M67=0,"",'Oper.St.'!M67))</f>
        <v>15.15</v>
      </c>
      <c r="M21" s="349" t="str">
        <f>IF(ISERROR('Oper.St.'!N67),"",IF('Oper.St.'!N67=0,"",'Oper.St.'!N67))</f>
        <v/>
      </c>
      <c r="N21" s="349" t="str">
        <f>IF(ISERROR('Oper.St.'!O67),"",IF('Oper.St.'!O67=0,"",'Oper.St.'!O67))</f>
        <v/>
      </c>
      <c r="O21" s="349" t="str">
        <f>IF(ISERROR('Oper.St.'!P67),"",IF('Oper.St.'!P67=0,"",'Oper.St.'!P67))</f>
        <v/>
      </c>
      <c r="P21" s="349" t="str">
        <f>IF(ISERROR('Oper.St.'!Q67),"",IF('Oper.St.'!Q67=0,"",'Oper.St.'!Q67))</f>
        <v/>
      </c>
      <c r="Q21" s="349" t="str">
        <f>IF(ISERROR('Oper.St.'!R67),"",IF('Oper.St.'!R67=0,"",'Oper.St.'!R67))</f>
        <v/>
      </c>
      <c r="R21" s="349" t="str">
        <f>IF(ISERROR('Oper.St.'!S67),"",IF('Oper.St.'!S67=0,"",'Oper.St.'!S67))</f>
        <v/>
      </c>
      <c r="S21" s="349" t="str">
        <f>IF(ISERROR('Oper.St.'!T67),"",IF('Oper.St.'!T67=0,"",'Oper.St.'!T67))</f>
        <v/>
      </c>
      <c r="T21" s="349" t="str">
        <f>IF(ISERROR('Oper.St.'!U67),"",IF('Oper.St.'!U67=0,"",'Oper.St.'!U67))</f>
        <v/>
      </c>
      <c r="U21" s="349" t="str">
        <f>IF(ISERROR('Oper.St.'!V67),"",IF('Oper.St.'!V67=0,"",'Oper.St.'!V67))</f>
        <v/>
      </c>
      <c r="V21" s="615"/>
    </row>
    <row r="22" spans="1:22" s="355" customFormat="1" ht="11.1" customHeight="1" x14ac:dyDescent="0.2">
      <c r="A22" s="356"/>
      <c r="B22" s="358" t="str">
        <f>IF(INPUT!C33="","",CONCATENATE("(",INPUT!C33,")"))</f>
        <v/>
      </c>
      <c r="C22" s="358" t="str">
        <f>IF(INPUT!D33="","",CONCATENATE("(",INPUT!D33,")"))</f>
        <v/>
      </c>
      <c r="D22" s="358" t="str">
        <f>IF(INPUT!E33="","",CONCATENATE("(",INPUT!E33,")"))</f>
        <v/>
      </c>
      <c r="E22" s="358" t="str">
        <f>IF(INPUT!F33="","",CONCATENATE("(",INPUT!F33,")"))</f>
        <v/>
      </c>
      <c r="F22" s="358" t="str">
        <f>IF(INPUT!G33="","",CONCATENATE("(",INPUT!G33,")"))</f>
        <v/>
      </c>
      <c r="G22" s="358" t="str">
        <f>IF(INPUT!H33="","",CONCATENATE("(",INPUT!H33,")"))</f>
        <v/>
      </c>
      <c r="H22" s="358" t="str">
        <f>IF(INPUT!I33="","",CONCATENATE("(",INPUT!I33,")"))</f>
        <v/>
      </c>
      <c r="I22" s="358" t="str">
        <f>IF(INPUT!J33="","",CONCATENATE("(",INPUT!J33,")"))</f>
        <v/>
      </c>
      <c r="J22" s="358" t="str">
        <f>IF(INPUT!K33="","",CONCATENATE("(",INPUT!K33,")"))</f>
        <v/>
      </c>
      <c r="K22" s="358" t="str">
        <f>IF(INPUT!L33="","",CONCATENATE("(",INPUT!L33,")"))</f>
        <v/>
      </c>
      <c r="L22" s="358" t="str">
        <f>IF(INPUT!M33="","",CONCATENATE("(",INPUT!M33,")"))</f>
        <v/>
      </c>
      <c r="M22" s="358" t="str">
        <f>IF(INPUT!N33="","",CONCATENATE("(",INPUT!N33,")"))</f>
        <v/>
      </c>
      <c r="N22" s="358" t="str">
        <f>IF(INPUT!O33="","",CONCATENATE("(",INPUT!O33,")"))</f>
        <v/>
      </c>
      <c r="O22" s="358" t="str">
        <f>IF(INPUT!P33="","",CONCATENATE("(",INPUT!P33,")"))</f>
        <v/>
      </c>
      <c r="P22" s="358" t="str">
        <f>IF(INPUT!Q33="","",CONCATENATE("(",INPUT!Q33,")"))</f>
        <v/>
      </c>
      <c r="Q22" s="358" t="str">
        <f>IF(INPUT!R33="","",CONCATENATE("(",INPUT!R33,")"))</f>
        <v/>
      </c>
      <c r="R22" s="358" t="str">
        <f>IF(INPUT!S33="","",CONCATENATE("(",INPUT!S33,")"))</f>
        <v/>
      </c>
      <c r="S22" s="358" t="str">
        <f>IF(INPUT!T33="","",CONCATENATE("(",INPUT!T33,")"))</f>
        <v/>
      </c>
      <c r="T22" s="358" t="str">
        <f>IF(INPUT!U33="","",CONCATENATE("(",INPUT!U33,")"))</f>
        <v/>
      </c>
      <c r="U22" s="358" t="str">
        <f>IF(INPUT!V33="","",CONCATENATE("(",INPUT!V33,")"))</f>
        <v/>
      </c>
      <c r="V22" s="615"/>
    </row>
    <row r="23" spans="1:22" s="355" customFormat="1" ht="11.1" customHeight="1" x14ac:dyDescent="0.2">
      <c r="A23" s="354" t="s">
        <v>329</v>
      </c>
      <c r="B23" s="349" t="str">
        <f>IF(ISERROR('Oper.St.'!C73),"",IF('Oper.St.'!C73=0,"",'Oper.St.'!C73))</f>
        <v/>
      </c>
      <c r="C23" s="349" t="str">
        <f>IF(ISERROR('Oper.St.'!D73),"",IF('Oper.St.'!D73=0,"",'Oper.St.'!D73))</f>
        <v/>
      </c>
      <c r="D23" s="349">
        <f>IF(ISERROR('Oper.St.'!E73),"",IF('Oper.St.'!E73=0,"",'Oper.St.'!E73))</f>
        <v>0.05</v>
      </c>
      <c r="E23" s="349">
        <f>IF(ISERROR('Oper.St.'!F73),"",IF('Oper.St.'!F73=0,"",'Oper.St.'!F73))</f>
        <v>0.47</v>
      </c>
      <c r="F23" s="349">
        <f>IF(ISERROR('Oper.St.'!G73),"",IF('Oper.St.'!G73=0,"",'Oper.St.'!G73))</f>
        <v>0.91</v>
      </c>
      <c r="G23" s="349">
        <f>IF(ISERROR('Oper.St.'!H73),"",IF('Oper.St.'!H73=0,"",'Oper.St.'!H73))</f>
        <v>1.1492750000000003</v>
      </c>
      <c r="H23" s="349">
        <f>IF(ISERROR('Oper.St.'!I73),"",IF('Oper.St.'!I73=0,"",'Oper.St.'!I73))</f>
        <v>0.96513000000000082</v>
      </c>
      <c r="I23" s="349">
        <f>IF(ISERROR('Oper.St.'!J73),"",IF('Oper.St.'!J73=0,"",'Oper.St.'!J73))</f>
        <v>0.83753250000000101</v>
      </c>
      <c r="J23" s="349">
        <f>IF(ISERROR('Oper.St.'!K73),"",IF('Oper.St.'!K73=0,"",'Oper.St.'!K73))</f>
        <v>0.681315000000001</v>
      </c>
      <c r="K23" s="349">
        <f>IF(ISERROR('Oper.St.'!L73),"",IF('Oper.St.'!L73=0,"",'Oper.St.'!L73))</f>
        <v>0.50085000000000091</v>
      </c>
      <c r="L23" s="349">
        <f>IF(ISERROR('Oper.St.'!M73),"",IF('Oper.St.'!M73=0,"",'Oper.St.'!M73))</f>
        <v>0.28818750000000093</v>
      </c>
      <c r="M23" s="349" t="str">
        <f>IF(ISERROR('Oper.St.'!N73),"",IF('Oper.St.'!N73=0,"",'Oper.St.'!N73))</f>
        <v/>
      </c>
      <c r="N23" s="349" t="str">
        <f>IF(ISERROR('Oper.St.'!O73),"",IF('Oper.St.'!O73=0,"",'Oper.St.'!O73))</f>
        <v/>
      </c>
      <c r="O23" s="349" t="str">
        <f>IF(ISERROR('Oper.St.'!P73),"",IF('Oper.St.'!P73=0,"",'Oper.St.'!P73))</f>
        <v/>
      </c>
      <c r="P23" s="349" t="str">
        <f>IF(ISERROR('Oper.St.'!Q73),"",IF('Oper.St.'!Q73=0,"",'Oper.St.'!Q73))</f>
        <v/>
      </c>
      <c r="Q23" s="349" t="str">
        <f>IF(ISERROR('Oper.St.'!R73),"",IF('Oper.St.'!R73=0,"",'Oper.St.'!R73))</f>
        <v/>
      </c>
      <c r="R23" s="349" t="str">
        <f>IF(ISERROR('Oper.St.'!S73),"",IF('Oper.St.'!S73=0,"",'Oper.St.'!S73))</f>
        <v/>
      </c>
      <c r="S23" s="349" t="str">
        <f>IF(ISERROR('Oper.St.'!T73),"",IF('Oper.St.'!T73=0,"",'Oper.St.'!T73))</f>
        <v/>
      </c>
      <c r="T23" s="349" t="str">
        <f>IF(ISERROR('Oper.St.'!U73),"",IF('Oper.St.'!U73=0,"",'Oper.St.'!U73))</f>
        <v/>
      </c>
      <c r="U23" s="349" t="str">
        <f>IF(ISERROR('Oper.St.'!V73),"",IF('Oper.St.'!V73=0,"",'Oper.St.'!V73))</f>
        <v/>
      </c>
      <c r="V23" s="615"/>
    </row>
    <row r="24" spans="1:22" s="355" customFormat="1" ht="11.1" customHeight="1" x14ac:dyDescent="0.2">
      <c r="A24" s="356"/>
      <c r="B24" s="358" t="str">
        <f>IF(INPUT!C34="","",CONCATENATE("(",INPUT!C34,")"))</f>
        <v/>
      </c>
      <c r="C24" s="358" t="str">
        <f>IF(INPUT!D34="","",CONCATENATE("(",INPUT!D34,")"))</f>
        <v/>
      </c>
      <c r="D24" s="358" t="str">
        <f>IF(INPUT!E34="","",CONCATENATE("(",INPUT!E34,")"))</f>
        <v/>
      </c>
      <c r="E24" s="358" t="str">
        <f>IF(INPUT!F34="","",CONCATENATE("(",INPUT!F34,")"))</f>
        <v/>
      </c>
      <c r="F24" s="358" t="str">
        <f>IF(INPUT!G34="","",CONCATENATE("(",INPUT!G34,")"))</f>
        <v/>
      </c>
      <c r="G24" s="358" t="str">
        <f>IF(INPUT!H34="","",CONCATENATE("(",INPUT!H34,")"))</f>
        <v/>
      </c>
      <c r="H24" s="358" t="str">
        <f>IF(INPUT!I34="","",CONCATENATE("(",INPUT!I34,")"))</f>
        <v/>
      </c>
      <c r="I24" s="358" t="str">
        <f>IF(INPUT!J34="","",CONCATENATE("(",INPUT!J34,")"))</f>
        <v/>
      </c>
      <c r="J24" s="358" t="str">
        <f>IF(INPUT!K34="","",CONCATENATE("(",INPUT!K34,")"))</f>
        <v/>
      </c>
      <c r="K24" s="358" t="str">
        <f>IF(INPUT!L34="","",CONCATENATE("(",INPUT!L34,")"))</f>
        <v/>
      </c>
      <c r="L24" s="358" t="str">
        <f>IF(INPUT!M34="","",CONCATENATE("(",INPUT!M34,")"))</f>
        <v/>
      </c>
      <c r="M24" s="358" t="str">
        <f>IF(INPUT!N34="","",CONCATENATE("(",INPUT!N34,")"))</f>
        <v/>
      </c>
      <c r="N24" s="358" t="str">
        <f>IF(INPUT!O34="","",CONCATENATE("(",INPUT!O34,")"))</f>
        <v/>
      </c>
      <c r="O24" s="358" t="str">
        <f>IF(INPUT!P34="","",CONCATENATE("(",INPUT!P34,")"))</f>
        <v/>
      </c>
      <c r="P24" s="358" t="str">
        <f>IF(INPUT!Q34="","",CONCATENATE("(",INPUT!Q34,")"))</f>
        <v/>
      </c>
      <c r="Q24" s="358" t="str">
        <f>IF(INPUT!R34="","",CONCATENATE("(",INPUT!R34,")"))</f>
        <v/>
      </c>
      <c r="R24" s="358" t="str">
        <f>IF(INPUT!S34="","",CONCATENATE("(",INPUT!S34,")"))</f>
        <v/>
      </c>
      <c r="S24" s="358" t="str">
        <f>IF(INPUT!T34="","",CONCATENATE("(",INPUT!T34,")"))</f>
        <v/>
      </c>
      <c r="T24" s="358" t="str">
        <f>IF(INPUT!U34="","",CONCATENATE("(",INPUT!U34,")"))</f>
        <v/>
      </c>
      <c r="U24" s="358" t="str">
        <f>IF(INPUT!V34="","",CONCATENATE("(",INPUT!V34,")"))</f>
        <v/>
      </c>
      <c r="V24" s="615"/>
    </row>
    <row r="25" spans="1:22" s="355" customFormat="1" ht="11.1" customHeight="1" x14ac:dyDescent="0.2">
      <c r="A25" s="354" t="s">
        <v>56</v>
      </c>
      <c r="B25" s="349">
        <f>IF(ISERROR('Oper.St.'!C75),"",IF('Oper.St.'!C75=0,"",'Oper.St.'!C75))</f>
        <v>9.9999999999999978E-2</v>
      </c>
      <c r="C25" s="349">
        <f>IF(ISERROR('Oper.St.'!D75),"",IF('Oper.St.'!D75=0,"",'Oper.St.'!D75))</f>
        <v>0.13</v>
      </c>
      <c r="D25" s="349">
        <f>IF(ISERROR('Oper.St.'!E75),"",IF('Oper.St.'!E75=0,"",'Oper.St.'!E75))</f>
        <v>0.38000000000000017</v>
      </c>
      <c r="E25" s="349">
        <f>IF(ISERROR('Oper.St.'!F75),"",IF('Oper.St.'!F75=0,"",'Oper.St.'!F75))</f>
        <v>0.30999999999999983</v>
      </c>
      <c r="F25" s="349">
        <f>IF(ISERROR('Oper.St.'!G75),"",IF('Oper.St.'!G75=0,"",'Oper.St.'!G75))</f>
        <v>0.8200000000000004</v>
      </c>
      <c r="G25" s="349">
        <f>IF(ISERROR('Oper.St.'!H75),"",IF('Oper.St.'!H75=0,"",'Oper.St.'!H75))</f>
        <v>1.7307250000000023</v>
      </c>
      <c r="H25" s="349">
        <f>IF(ISERROR('Oper.St.'!I75),"",IF('Oper.St.'!I75=0,"",'Oper.St.'!I75))</f>
        <v>2.3448700000000016</v>
      </c>
      <c r="I25" s="349">
        <f>IF(ISERROR('Oper.St.'!J75),"",IF('Oper.St.'!J75=0,"",'Oper.St.'!J75))</f>
        <v>2.6224675</v>
      </c>
      <c r="J25" s="349">
        <f>IF(ISERROR('Oper.St.'!K75),"",IF('Oper.St.'!K75=0,"",'Oper.St.'!K75))</f>
        <v>2.8786849999999942</v>
      </c>
      <c r="K25" s="349">
        <f>IF(ISERROR('Oper.St.'!L75),"",IF('Oper.St.'!L75=0,"",'Oper.St.'!L75))</f>
        <v>3.169150000000001</v>
      </c>
      <c r="L25" s="349">
        <f>IF(ISERROR('Oper.St.'!M75),"",IF('Oper.St.'!M75=0,"",'Oper.St.'!M75))</f>
        <v>3.6418124999999986</v>
      </c>
      <c r="M25" s="349" t="str">
        <f>IF(ISERROR('Oper.St.'!N75),"",IF('Oper.St.'!N75=0,"",'Oper.St.'!N75))</f>
        <v/>
      </c>
      <c r="N25" s="349" t="str">
        <f>IF(ISERROR('Oper.St.'!O75),"",IF('Oper.St.'!O75=0,"",'Oper.St.'!O75))</f>
        <v/>
      </c>
      <c r="O25" s="349" t="str">
        <f>IF(ISERROR('Oper.St.'!P75),"",IF('Oper.St.'!P75=0,"",'Oper.St.'!P75))</f>
        <v/>
      </c>
      <c r="P25" s="349" t="str">
        <f>IF(ISERROR('Oper.St.'!Q75),"",IF('Oper.St.'!Q75=0,"",'Oper.St.'!Q75))</f>
        <v/>
      </c>
      <c r="Q25" s="349" t="str">
        <f>IF(ISERROR('Oper.St.'!R75),"",IF('Oper.St.'!R75=0,"",'Oper.St.'!R75))</f>
        <v/>
      </c>
      <c r="R25" s="349" t="str">
        <f>IF(ISERROR('Oper.St.'!S75),"",IF('Oper.St.'!S75=0,"",'Oper.St.'!S75))</f>
        <v/>
      </c>
      <c r="S25" s="349" t="str">
        <f>IF(ISERROR('Oper.St.'!T75),"",IF('Oper.St.'!T75=0,"",'Oper.St.'!T75))</f>
        <v/>
      </c>
      <c r="T25" s="349" t="str">
        <f>IF(ISERROR('Oper.St.'!U75),"",IF('Oper.St.'!U75=0,"",'Oper.St.'!U75))</f>
        <v/>
      </c>
      <c r="U25" s="349" t="str">
        <f>IF(ISERROR('Oper.St.'!V75),"",IF('Oper.St.'!V75=0,"",'Oper.St.'!V75))</f>
        <v/>
      </c>
      <c r="V25" s="615"/>
    </row>
    <row r="26" spans="1:22" s="355" customFormat="1" ht="11.1" customHeight="1" x14ac:dyDescent="0.2">
      <c r="A26" s="356"/>
      <c r="B26" s="358" t="str">
        <f>IF(INPUT!C35="","",CONCATENATE("(",INPUT!C35,")"))</f>
        <v/>
      </c>
      <c r="C26" s="358" t="str">
        <f>IF(INPUT!D35="","",CONCATENATE("(",INPUT!D35,")"))</f>
        <v/>
      </c>
      <c r="D26" s="358" t="str">
        <f>IF(INPUT!E35="","",CONCATENATE("(",INPUT!E35,")"))</f>
        <v/>
      </c>
      <c r="E26" s="358" t="str">
        <f>IF(INPUT!F35="","",CONCATENATE("(",INPUT!F35,")"))</f>
        <v/>
      </c>
      <c r="F26" s="358" t="str">
        <f>IF(INPUT!G35="","",CONCATENATE("(",INPUT!G35,")"))</f>
        <v/>
      </c>
      <c r="G26" s="358" t="str">
        <f>IF(INPUT!H35="","",CONCATENATE("(",INPUT!H35,")"))</f>
        <v/>
      </c>
      <c r="H26" s="358" t="str">
        <f>IF(INPUT!I35="","",CONCATENATE("(",INPUT!I35,")"))</f>
        <v/>
      </c>
      <c r="I26" s="358" t="str">
        <f>IF(INPUT!J35="","",CONCATENATE("(",INPUT!J35,")"))</f>
        <v/>
      </c>
      <c r="J26" s="358" t="str">
        <f>IF(INPUT!K35="","",CONCATENATE("(",INPUT!K35,")"))</f>
        <v/>
      </c>
      <c r="K26" s="358" t="str">
        <f>IF(INPUT!L35="","",CONCATENATE("(",INPUT!L35,")"))</f>
        <v/>
      </c>
      <c r="L26" s="358" t="str">
        <f>IF(INPUT!M35="","",CONCATENATE("(",INPUT!M35,")"))</f>
        <v/>
      </c>
      <c r="M26" s="358" t="str">
        <f>IF(INPUT!N35="","",CONCATENATE("(",INPUT!N35,")"))</f>
        <v/>
      </c>
      <c r="N26" s="358" t="str">
        <f>IF(INPUT!O35="","",CONCATENATE("(",INPUT!O35,")"))</f>
        <v/>
      </c>
      <c r="O26" s="358" t="str">
        <f>IF(INPUT!P35="","",CONCATENATE("(",INPUT!P35,")"))</f>
        <v/>
      </c>
      <c r="P26" s="358" t="str">
        <f>IF(INPUT!Q35="","",CONCATENATE("(",INPUT!Q35,")"))</f>
        <v/>
      </c>
      <c r="Q26" s="358" t="str">
        <f>IF(INPUT!R35="","",CONCATENATE("(",INPUT!R35,")"))</f>
        <v/>
      </c>
      <c r="R26" s="358" t="str">
        <f>IF(INPUT!S35="","",CONCATENATE("(",INPUT!S35,")"))</f>
        <v/>
      </c>
      <c r="S26" s="358" t="str">
        <f>IF(INPUT!T35="","",CONCATENATE("(",INPUT!T35,")"))</f>
        <v/>
      </c>
      <c r="T26" s="358" t="str">
        <f>IF(INPUT!U35="","",CONCATENATE("(",INPUT!U35,")"))</f>
        <v/>
      </c>
      <c r="U26" s="358" t="str">
        <f>IF(INPUT!V35="","",CONCATENATE("(",INPUT!V35,")"))</f>
        <v/>
      </c>
      <c r="V26" s="615"/>
    </row>
    <row r="27" spans="1:22" s="361" customFormat="1" ht="11.1" customHeight="1" x14ac:dyDescent="0.2">
      <c r="A27" s="359" t="s">
        <v>932</v>
      </c>
      <c r="B27" s="360">
        <f>IF(ISERROR(B25/B7),"",IF(B25/B7=0,"",B25/B7))</f>
        <v>0.12499999999999997</v>
      </c>
      <c r="C27" s="360">
        <f t="shared" ref="C27:U27" si="0">IF(ISERROR(C25/C7),"",IF(C25/C7=0,"",C25/C7))</f>
        <v>0.12380952380952381</v>
      </c>
      <c r="D27" s="360">
        <f t="shared" si="0"/>
        <v>0.17272727272727278</v>
      </c>
      <c r="E27" s="360">
        <f t="shared" si="0"/>
        <v>7.7499999999999958E-2</v>
      </c>
      <c r="F27" s="360">
        <f t="shared" si="0"/>
        <v>4.1000000000000023E-2</v>
      </c>
      <c r="G27" s="360">
        <f t="shared" si="0"/>
        <v>5.0487893815636002E-2</v>
      </c>
      <c r="H27" s="360">
        <f t="shared" si="0"/>
        <v>5.8012617516081187E-2</v>
      </c>
      <c r="I27" s="360">
        <f t="shared" si="0"/>
        <v>5.947987071898389E-2</v>
      </c>
      <c r="J27" s="360">
        <f t="shared" si="0"/>
        <v>6.0022623019182528E-2</v>
      </c>
      <c r="K27" s="360">
        <f t="shared" si="0"/>
        <v>6.0910051893138591E-2</v>
      </c>
      <c r="L27" s="360">
        <f t="shared" si="0"/>
        <v>6.4800934163701043E-2</v>
      </c>
      <c r="M27" s="360" t="str">
        <f t="shared" si="0"/>
        <v/>
      </c>
      <c r="N27" s="360" t="str">
        <f t="shared" si="0"/>
        <v/>
      </c>
      <c r="O27" s="360" t="str">
        <f t="shared" si="0"/>
        <v/>
      </c>
      <c r="P27" s="360" t="str">
        <f t="shared" si="0"/>
        <v/>
      </c>
      <c r="Q27" s="360" t="str">
        <f t="shared" si="0"/>
        <v/>
      </c>
      <c r="R27" s="360" t="str">
        <f t="shared" si="0"/>
        <v/>
      </c>
      <c r="S27" s="360" t="str">
        <f t="shared" si="0"/>
        <v/>
      </c>
      <c r="T27" s="360" t="str">
        <f t="shared" si="0"/>
        <v/>
      </c>
      <c r="U27" s="360" t="str">
        <f t="shared" si="0"/>
        <v/>
      </c>
      <c r="V27" s="616"/>
    </row>
    <row r="28" spans="1:22" s="361" customFormat="1" ht="11.1" customHeight="1" x14ac:dyDescent="0.2">
      <c r="A28" s="362"/>
      <c r="B28" s="358" t="str">
        <f>IF(INPUT!C36="","",CONCATENATE("(",INPUT!C36,"%",")"))</f>
        <v/>
      </c>
      <c r="C28" s="358" t="str">
        <f>IF(INPUT!D36="","",CONCATENATE("(",INPUT!D36,"%",")"))</f>
        <v/>
      </c>
      <c r="D28" s="358" t="str">
        <f>IF(INPUT!E36="","",CONCATENATE("(",INPUT!E36,"%",")"))</f>
        <v/>
      </c>
      <c r="E28" s="358" t="str">
        <f>IF(INPUT!F36="","",CONCATENATE("(",INPUT!F36,"%",")"))</f>
        <v/>
      </c>
      <c r="F28" s="358" t="str">
        <f>IF(INPUT!G36="","",CONCATENATE("(",INPUT!G36,"%",")"))</f>
        <v/>
      </c>
      <c r="G28" s="358" t="str">
        <f>IF(INPUT!H36="","",CONCATENATE("(",INPUT!H36,"%",")"))</f>
        <v/>
      </c>
      <c r="H28" s="358" t="str">
        <f>IF(INPUT!I36="","",CONCATENATE("(",INPUT!I36,"%",")"))</f>
        <v/>
      </c>
      <c r="I28" s="358" t="str">
        <f>IF(INPUT!J36="","",CONCATENATE("(",INPUT!J36,"%",")"))</f>
        <v/>
      </c>
      <c r="J28" s="358" t="str">
        <f>IF(INPUT!K36="","",CONCATENATE("(",INPUT!K36,"%",")"))</f>
        <v/>
      </c>
      <c r="K28" s="358" t="str">
        <f>IF(INPUT!L36="","",CONCATENATE("(",INPUT!L36,"%",")"))</f>
        <v/>
      </c>
      <c r="L28" s="358" t="str">
        <f>IF(INPUT!M36="","",CONCATENATE("(",INPUT!M36,"%",")"))</f>
        <v/>
      </c>
      <c r="M28" s="358" t="str">
        <f>IF(INPUT!N36="","",CONCATENATE("(",INPUT!N36,"%",")"))</f>
        <v/>
      </c>
      <c r="N28" s="358" t="str">
        <f>IF(INPUT!O36="","",CONCATENATE("(",INPUT!O36,"%",")"))</f>
        <v/>
      </c>
      <c r="O28" s="358" t="str">
        <f>IF(INPUT!P36="","",CONCATENATE("(",INPUT!P36,"%",")"))</f>
        <v/>
      </c>
      <c r="P28" s="358" t="str">
        <f>IF(INPUT!Q36="","",CONCATENATE("(",INPUT!Q36,"%",")"))</f>
        <v/>
      </c>
      <c r="Q28" s="358" t="str">
        <f>IF(INPUT!R36="","",CONCATENATE("(",INPUT!R36,"%",")"))</f>
        <v/>
      </c>
      <c r="R28" s="358" t="str">
        <f>IF(INPUT!S36="","",CONCATENATE("(",INPUT!S36,"%",")"))</f>
        <v/>
      </c>
      <c r="S28" s="358" t="str">
        <f>IF(INPUT!T36="","",CONCATENATE("(",INPUT!T36,"%",")"))</f>
        <v/>
      </c>
      <c r="T28" s="358" t="str">
        <f>IF(INPUT!U36="","",CONCATENATE("(",INPUT!U36,"%",")"))</f>
        <v/>
      </c>
      <c r="U28" s="358" t="str">
        <f>IF(INPUT!V36="","",CONCATENATE("(",INPUT!V36,"%",")"))</f>
        <v/>
      </c>
      <c r="V28" s="616"/>
    </row>
    <row r="29" spans="1:22" s="355" customFormat="1" ht="11.1" customHeight="1" x14ac:dyDescent="0.2">
      <c r="A29" s="354" t="s">
        <v>45</v>
      </c>
      <c r="B29" s="349">
        <f>IF(ISERROR('Oper.St.'!C91),"",IF('Oper.St.'!C91=0,"",'Oper.St.'!C91))</f>
        <v>9.9999999999999978E-2</v>
      </c>
      <c r="C29" s="349">
        <f>IF(ISERROR('Oper.St.'!D91),"",IF('Oper.St.'!D91=0,"",'Oper.St.'!D91))</f>
        <v>0.13</v>
      </c>
      <c r="D29" s="349">
        <f>IF(ISERROR('Oper.St.'!E91),"",IF('Oper.St.'!E91=0,"",'Oper.St.'!E91))</f>
        <v>0.38000000000000017</v>
      </c>
      <c r="E29" s="349">
        <f>IF(ISERROR('Oper.St.'!F91),"",IF('Oper.St.'!F91=0,"",'Oper.St.'!F91))</f>
        <v>0.30999999999999983</v>
      </c>
      <c r="F29" s="349">
        <f>IF(ISERROR('Oper.St.'!G91),"",IF('Oper.St.'!G91=0,"",'Oper.St.'!G91))</f>
        <v>0.80000000000000038</v>
      </c>
      <c r="G29" s="349">
        <f>IF(ISERROR('Oper.St.'!H91),"",IF('Oper.St.'!H91=0,"",'Oper.St.'!H91))</f>
        <v>1.7107250000000023</v>
      </c>
      <c r="H29" s="349">
        <f>IF(ISERROR('Oper.St.'!I91),"",IF('Oper.St.'!I91=0,"",'Oper.St.'!I91))</f>
        <v>2.3248700000000015</v>
      </c>
      <c r="I29" s="349">
        <f>IF(ISERROR('Oper.St.'!J91),"",IF('Oper.St.'!J91=0,"",'Oper.St.'!J91))</f>
        <v>2.6024674999999999</v>
      </c>
      <c r="J29" s="349">
        <f>IF(ISERROR('Oper.St.'!K91),"",IF('Oper.St.'!K91=0,"",'Oper.St.'!K91))</f>
        <v>2.8586849999999941</v>
      </c>
      <c r="K29" s="349">
        <f>IF(ISERROR('Oper.St.'!L91),"",IF('Oper.St.'!L91=0,"",'Oper.St.'!L91))</f>
        <v>3.169150000000001</v>
      </c>
      <c r="L29" s="349">
        <f>IF(ISERROR('Oper.St.'!M91),"",IF('Oper.St.'!M91=0,"",'Oper.St.'!M91))</f>
        <v>3.6418124999999986</v>
      </c>
      <c r="M29" s="349" t="str">
        <f>IF(ISERROR('Oper.St.'!N91),"",IF('Oper.St.'!N91=0,"",'Oper.St.'!N91))</f>
        <v/>
      </c>
      <c r="N29" s="349" t="str">
        <f>IF(ISERROR('Oper.St.'!O91),"",IF('Oper.St.'!O91=0,"",'Oper.St.'!O91))</f>
        <v/>
      </c>
      <c r="O29" s="349" t="str">
        <f>IF(ISERROR('Oper.St.'!P91),"",IF('Oper.St.'!P91=0,"",'Oper.St.'!P91))</f>
        <v/>
      </c>
      <c r="P29" s="349" t="str">
        <f>IF(ISERROR('Oper.St.'!Q91),"",IF('Oper.St.'!Q91=0,"",'Oper.St.'!Q91))</f>
        <v/>
      </c>
      <c r="Q29" s="349" t="str">
        <f>IF(ISERROR('Oper.St.'!R91),"",IF('Oper.St.'!R91=0,"",'Oper.St.'!R91))</f>
        <v/>
      </c>
      <c r="R29" s="349" t="str">
        <f>IF(ISERROR('Oper.St.'!S91),"",IF('Oper.St.'!S91=0,"",'Oper.St.'!S91))</f>
        <v/>
      </c>
      <c r="S29" s="349" t="str">
        <f>IF(ISERROR('Oper.St.'!T91),"",IF('Oper.St.'!T91=0,"",'Oper.St.'!T91))</f>
        <v/>
      </c>
      <c r="T29" s="349" t="str">
        <f>IF(ISERROR('Oper.St.'!U91),"",IF('Oper.St.'!U91=0,"",'Oper.St.'!U91))</f>
        <v/>
      </c>
      <c r="U29" s="349" t="str">
        <f>IF(ISERROR('Oper.St.'!V91),"",IF('Oper.St.'!V91=0,"",'Oper.St.'!V91))</f>
        <v/>
      </c>
      <c r="V29" s="615"/>
    </row>
    <row r="30" spans="1:22" s="355" customFormat="1" ht="11.1" customHeight="1" x14ac:dyDescent="0.2">
      <c r="A30" s="356"/>
      <c r="B30" s="358" t="str">
        <f>IF(INPUT!C37="","",CONCATENATE("(",INPUT!C37,")"))</f>
        <v/>
      </c>
      <c r="C30" s="358" t="str">
        <f>IF(INPUT!D37="","",CONCATENATE("(",INPUT!D37,")"))</f>
        <v/>
      </c>
      <c r="D30" s="358" t="str">
        <f>IF(INPUT!E37="","",CONCATENATE("(",INPUT!E37,")"))</f>
        <v/>
      </c>
      <c r="E30" s="358" t="str">
        <f>IF(INPUT!F37="","",CONCATENATE("(",INPUT!F37,")"))</f>
        <v/>
      </c>
      <c r="F30" s="358" t="str">
        <f>IF(INPUT!G37="","",CONCATENATE("(",INPUT!G37,")"))</f>
        <v/>
      </c>
      <c r="G30" s="358" t="str">
        <f>IF(INPUT!H37="","",CONCATENATE("(",INPUT!H37,")"))</f>
        <v/>
      </c>
      <c r="H30" s="358" t="str">
        <f>IF(INPUT!I37="","",CONCATENATE("(",INPUT!I37,")"))</f>
        <v/>
      </c>
      <c r="I30" s="358" t="str">
        <f>IF(INPUT!J37="","",CONCATENATE("(",INPUT!J37,")"))</f>
        <v/>
      </c>
      <c r="J30" s="358" t="str">
        <f>IF(INPUT!K37="","",CONCATENATE("(",INPUT!K37,")"))</f>
        <v/>
      </c>
      <c r="K30" s="358" t="str">
        <f>IF(INPUT!L37="","",CONCATENATE("(",INPUT!L37,")"))</f>
        <v/>
      </c>
      <c r="L30" s="358" t="str">
        <f>IF(INPUT!M37="","",CONCATENATE("(",INPUT!M37,")"))</f>
        <v/>
      </c>
      <c r="M30" s="358" t="str">
        <f>IF(INPUT!N37="","",CONCATENATE("(",INPUT!N37,")"))</f>
        <v/>
      </c>
      <c r="N30" s="358" t="str">
        <f>IF(INPUT!O37="","",CONCATENATE("(",INPUT!O37,")"))</f>
        <v/>
      </c>
      <c r="O30" s="358" t="str">
        <f>IF(INPUT!P37="","",CONCATENATE("(",INPUT!P37,")"))</f>
        <v/>
      </c>
      <c r="P30" s="358" t="str">
        <f>IF(INPUT!Q37="","",CONCATENATE("(",INPUT!Q37,")"))</f>
        <v/>
      </c>
      <c r="Q30" s="358" t="str">
        <f>IF(INPUT!R37="","",CONCATENATE("(",INPUT!R37,")"))</f>
        <v/>
      </c>
      <c r="R30" s="358" t="str">
        <f>IF(INPUT!S37="","",CONCATENATE("(",INPUT!S37,")"))</f>
        <v/>
      </c>
      <c r="S30" s="358" t="str">
        <f>IF(INPUT!T37="","",CONCATENATE("(",INPUT!T37,")"))</f>
        <v/>
      </c>
      <c r="T30" s="358" t="str">
        <f>IF(INPUT!U37="","",CONCATENATE("(",INPUT!U37,")"))</f>
        <v/>
      </c>
      <c r="U30" s="358" t="str">
        <f>IF(INPUT!V37="","",CONCATENATE("(",INPUT!V37,")"))</f>
        <v/>
      </c>
      <c r="V30" s="615"/>
    </row>
    <row r="31" spans="1:22" s="361" customFormat="1" ht="11.1" customHeight="1" x14ac:dyDescent="0.2">
      <c r="A31" s="359" t="s">
        <v>930</v>
      </c>
      <c r="B31" s="360">
        <f>IF(ISERROR(B29/B7),"",IF(B29/B7=0,"",B29/B7))</f>
        <v>0.12499999999999997</v>
      </c>
      <c r="C31" s="360">
        <f t="shared" ref="C31:U31" si="1">IF(ISERROR(C29/C7),"",IF(C29/C7=0,"",C29/C7))</f>
        <v>0.12380952380952381</v>
      </c>
      <c r="D31" s="360">
        <f t="shared" si="1"/>
        <v>0.17272727272727278</v>
      </c>
      <c r="E31" s="360">
        <f t="shared" si="1"/>
        <v>7.7499999999999958E-2</v>
      </c>
      <c r="F31" s="360">
        <f t="shared" si="1"/>
        <v>4.0000000000000022E-2</v>
      </c>
      <c r="G31" s="360">
        <f t="shared" si="1"/>
        <v>4.9904463243874042E-2</v>
      </c>
      <c r="H31" s="360">
        <f t="shared" si="1"/>
        <v>5.7517812963879304E-2</v>
      </c>
      <c r="I31" s="360">
        <f t="shared" si="1"/>
        <v>5.9026253118620996E-2</v>
      </c>
      <c r="J31" s="360">
        <f t="shared" si="1"/>
        <v>5.9605608840700458E-2</v>
      </c>
      <c r="K31" s="360">
        <f t="shared" si="1"/>
        <v>6.0910051893138591E-2</v>
      </c>
      <c r="L31" s="360">
        <f t="shared" si="1"/>
        <v>6.4800934163701043E-2</v>
      </c>
      <c r="M31" s="360" t="str">
        <f t="shared" si="1"/>
        <v/>
      </c>
      <c r="N31" s="360" t="str">
        <f t="shared" si="1"/>
        <v/>
      </c>
      <c r="O31" s="360" t="str">
        <f t="shared" si="1"/>
        <v/>
      </c>
      <c r="P31" s="360" t="str">
        <f t="shared" si="1"/>
        <v/>
      </c>
      <c r="Q31" s="360" t="str">
        <f t="shared" si="1"/>
        <v/>
      </c>
      <c r="R31" s="360" t="str">
        <f t="shared" si="1"/>
        <v/>
      </c>
      <c r="S31" s="360" t="str">
        <f t="shared" si="1"/>
        <v/>
      </c>
      <c r="T31" s="360" t="str">
        <f t="shared" si="1"/>
        <v/>
      </c>
      <c r="U31" s="360" t="str">
        <f t="shared" si="1"/>
        <v/>
      </c>
      <c r="V31" s="616"/>
    </row>
    <row r="32" spans="1:22" s="361" customFormat="1" ht="11.1" customHeight="1" x14ac:dyDescent="0.2">
      <c r="A32" s="362"/>
      <c r="B32" s="358" t="str">
        <f>IF(INPUT!C38="","",CONCATENATE("(",INPUT!C38,"%",")"))</f>
        <v/>
      </c>
      <c r="C32" s="358" t="str">
        <f>IF(INPUT!D38="","",CONCATENATE("(",INPUT!D38,"%",")"))</f>
        <v/>
      </c>
      <c r="D32" s="358" t="str">
        <f>IF(INPUT!E38="","",CONCATENATE("(",INPUT!E38,"%",")"))</f>
        <v/>
      </c>
      <c r="E32" s="358" t="str">
        <f>IF(INPUT!F38="","",CONCATENATE("(",INPUT!F38,"%",")"))</f>
        <v/>
      </c>
      <c r="F32" s="358" t="str">
        <f>IF(INPUT!G38="","",CONCATENATE("(",INPUT!G38,"%",")"))</f>
        <v/>
      </c>
      <c r="G32" s="358" t="str">
        <f>IF(INPUT!H38="","",CONCATENATE("(",INPUT!H38,"%",")"))</f>
        <v/>
      </c>
      <c r="H32" s="358" t="str">
        <f>IF(INPUT!I38="","",CONCATENATE("(",INPUT!I38,"%",")"))</f>
        <v/>
      </c>
      <c r="I32" s="358" t="str">
        <f>IF(INPUT!J38="","",CONCATENATE("(",INPUT!J38,"%",")"))</f>
        <v/>
      </c>
      <c r="J32" s="358" t="str">
        <f>IF(INPUT!K38="","",CONCATENATE("(",INPUT!K38,"%",")"))</f>
        <v/>
      </c>
      <c r="K32" s="358" t="str">
        <f>IF(INPUT!L38="","",CONCATENATE("(",INPUT!L38,"%",")"))</f>
        <v/>
      </c>
      <c r="L32" s="358" t="str">
        <f>IF(INPUT!M38="","",CONCATENATE("(",INPUT!M38,"%",")"))</f>
        <v/>
      </c>
      <c r="M32" s="358" t="str">
        <f>IF(INPUT!N38="","",CONCATENATE("(",INPUT!N38,"%",")"))</f>
        <v/>
      </c>
      <c r="N32" s="358" t="str">
        <f>IF(INPUT!O38="","",CONCATENATE("(",INPUT!O38,"%",")"))</f>
        <v/>
      </c>
      <c r="O32" s="358" t="str">
        <f>IF(INPUT!P38="","",CONCATENATE("(",INPUT!P38,"%",")"))</f>
        <v/>
      </c>
      <c r="P32" s="358" t="str">
        <f>IF(INPUT!Q38="","",CONCATENATE("(",INPUT!Q38,"%",")"))</f>
        <v/>
      </c>
      <c r="Q32" s="358" t="str">
        <f>IF(INPUT!R38="","",CONCATENATE("(",INPUT!R38,"%",")"))</f>
        <v/>
      </c>
      <c r="R32" s="358" t="str">
        <f>IF(INPUT!S38="","",CONCATENATE("(",INPUT!S38,"%",")"))</f>
        <v/>
      </c>
      <c r="S32" s="358" t="str">
        <f>IF(INPUT!T38="","",CONCATENATE("(",INPUT!T38,"%",")"))</f>
        <v/>
      </c>
      <c r="T32" s="358" t="str">
        <f>IF(INPUT!U38="","",CONCATENATE("(",INPUT!U38,"%",")"))</f>
        <v/>
      </c>
      <c r="U32" s="358" t="str">
        <f>IF(INPUT!V38="","",CONCATENATE("(",INPUT!V38,"%",")"))</f>
        <v/>
      </c>
      <c r="V32" s="616"/>
    </row>
    <row r="33" spans="1:22" s="355" customFormat="1" ht="11.1" customHeight="1" x14ac:dyDescent="0.2">
      <c r="A33" s="354" t="s">
        <v>35</v>
      </c>
      <c r="B33" s="349">
        <f>IF(ISERROR('Oper.St.'!C95),"",IF('Oper.St.'!C95=0,"",'Oper.St.'!C95))</f>
        <v>6.9999999999999979E-2</v>
      </c>
      <c r="C33" s="349">
        <f>IF(ISERROR('Oper.St.'!D95),"",IF('Oper.St.'!D95=0,"",'Oper.St.'!D95))</f>
        <v>0.09</v>
      </c>
      <c r="D33" s="349">
        <f>IF(ISERROR('Oper.St.'!E95),"",IF('Oper.St.'!E95=0,"",'Oper.St.'!E95))</f>
        <v>0.27000000000000018</v>
      </c>
      <c r="E33" s="349">
        <f>IF(ISERROR('Oper.St.'!F95),"",IF('Oper.St.'!F95=0,"",'Oper.St.'!F95))</f>
        <v>0.21699999999999989</v>
      </c>
      <c r="F33" s="349">
        <f>IF(ISERROR('Oper.St.'!G95),"",IF('Oper.St.'!G95=0,"",'Oper.St.'!G95))</f>
        <v>0.56000000000000028</v>
      </c>
      <c r="G33" s="349">
        <f>IF(ISERROR('Oper.St.'!H95),"",IF('Oper.St.'!H95=0,"",'Oper.St.'!H95))</f>
        <v>1.1975075000000017</v>
      </c>
      <c r="H33" s="349">
        <f>IF(ISERROR('Oper.St.'!I95),"",IF('Oper.St.'!I95=0,"",'Oper.St.'!I95))</f>
        <v>1.627409000000001</v>
      </c>
      <c r="I33" s="349">
        <f>IF(ISERROR('Oper.St.'!J95),"",IF('Oper.St.'!J95=0,"",'Oper.St.'!J95))</f>
        <v>1.8217272499999999</v>
      </c>
      <c r="J33" s="349">
        <f>IF(ISERROR('Oper.St.'!K95),"",IF('Oper.St.'!K95=0,"",'Oper.St.'!K95))</f>
        <v>2.0010794999999959</v>
      </c>
      <c r="K33" s="349">
        <f>IF(ISERROR('Oper.St.'!L95),"",IF('Oper.St.'!L95=0,"",'Oper.St.'!L95))</f>
        <v>2.2184050000000006</v>
      </c>
      <c r="L33" s="349">
        <f>IF(ISERROR('Oper.St.'!M95),"",IF('Oper.St.'!M95=0,"",'Oper.St.'!M95))</f>
        <v>2.5492687499999991</v>
      </c>
      <c r="M33" s="349" t="str">
        <f>IF(ISERROR('Oper.St.'!N95),"",IF('Oper.St.'!N95=0,"",'Oper.St.'!N95))</f>
        <v/>
      </c>
      <c r="N33" s="349" t="str">
        <f>IF(ISERROR('Oper.St.'!O95),"",IF('Oper.St.'!O95=0,"",'Oper.St.'!O95))</f>
        <v/>
      </c>
      <c r="O33" s="349" t="str">
        <f>IF(ISERROR('Oper.St.'!P95),"",IF('Oper.St.'!P95=0,"",'Oper.St.'!P95))</f>
        <v/>
      </c>
      <c r="P33" s="349" t="str">
        <f>IF(ISERROR('Oper.St.'!Q95),"",IF('Oper.St.'!Q95=0,"",'Oper.St.'!Q95))</f>
        <v/>
      </c>
      <c r="Q33" s="349" t="str">
        <f>IF(ISERROR('Oper.St.'!R95),"",IF('Oper.St.'!R95=0,"",'Oper.St.'!R95))</f>
        <v/>
      </c>
      <c r="R33" s="349" t="str">
        <f>IF(ISERROR('Oper.St.'!S95),"",IF('Oper.St.'!S95=0,"",'Oper.St.'!S95))</f>
        <v/>
      </c>
      <c r="S33" s="349" t="str">
        <f>IF(ISERROR('Oper.St.'!T95),"",IF('Oper.St.'!T95=0,"",'Oper.St.'!T95))</f>
        <v/>
      </c>
      <c r="T33" s="349" t="str">
        <f>IF(ISERROR('Oper.St.'!U95),"",IF('Oper.St.'!U95=0,"",'Oper.St.'!U95))</f>
        <v/>
      </c>
      <c r="U33" s="349" t="str">
        <f>IF(ISERROR('Oper.St.'!V95),"",IF('Oper.St.'!V95=0,"",'Oper.St.'!V95))</f>
        <v/>
      </c>
      <c r="V33" s="615"/>
    </row>
    <row r="34" spans="1:22" s="355" customFormat="1" ht="11.1" customHeight="1" x14ac:dyDescent="0.2">
      <c r="A34" s="356"/>
      <c r="B34" s="358" t="str">
        <f>IF(INPUT!C39="","",CONCATENATE("(",INPUT!C39,")"))</f>
        <v/>
      </c>
      <c r="C34" s="358" t="str">
        <f>IF(INPUT!D39="","",CONCATENATE("(",INPUT!D39,")"))</f>
        <v/>
      </c>
      <c r="D34" s="358" t="str">
        <f>IF(INPUT!E39="","",CONCATENATE("(",INPUT!E39,")"))</f>
        <v/>
      </c>
      <c r="E34" s="358" t="str">
        <f>IF(INPUT!F39="","",CONCATENATE("(",INPUT!F39,")"))</f>
        <v/>
      </c>
      <c r="F34" s="358" t="str">
        <f>IF(INPUT!G39="","",CONCATENATE("(",INPUT!G39,")"))</f>
        <v/>
      </c>
      <c r="G34" s="358" t="str">
        <f>IF(INPUT!H39="","",CONCATENATE("(",INPUT!H39,")"))</f>
        <v/>
      </c>
      <c r="H34" s="358" t="str">
        <f>IF(INPUT!I39="","",CONCATENATE("(",INPUT!I39,")"))</f>
        <v/>
      </c>
      <c r="I34" s="358" t="str">
        <f>IF(INPUT!J39="","",CONCATENATE("(",INPUT!J39,")"))</f>
        <v/>
      </c>
      <c r="J34" s="358" t="str">
        <f>IF(INPUT!K39="","",CONCATENATE("(",INPUT!K39,")"))</f>
        <v/>
      </c>
      <c r="K34" s="358" t="str">
        <f>IF(INPUT!L39="","",CONCATENATE("(",INPUT!L39,")"))</f>
        <v/>
      </c>
      <c r="L34" s="358" t="str">
        <f>IF(INPUT!M39="","",CONCATENATE("(",INPUT!M39,")"))</f>
        <v/>
      </c>
      <c r="M34" s="358" t="str">
        <f>IF(INPUT!N39="","",CONCATENATE("(",INPUT!N39,")"))</f>
        <v/>
      </c>
      <c r="N34" s="358" t="str">
        <f>IF(INPUT!O39="","",CONCATENATE("(",INPUT!O39,")"))</f>
        <v/>
      </c>
      <c r="O34" s="358" t="str">
        <f>IF(INPUT!P39="","",CONCATENATE("(",INPUT!P39,")"))</f>
        <v/>
      </c>
      <c r="P34" s="358" t="str">
        <f>IF(INPUT!Q39="","",CONCATENATE("(",INPUT!Q39,")"))</f>
        <v/>
      </c>
      <c r="Q34" s="358" t="str">
        <f>IF(INPUT!R39="","",CONCATENATE("(",INPUT!R39,")"))</f>
        <v/>
      </c>
      <c r="R34" s="358" t="str">
        <f>IF(INPUT!S39="","",CONCATENATE("(",INPUT!S39,")"))</f>
        <v/>
      </c>
      <c r="S34" s="358" t="str">
        <f>IF(INPUT!T39="","",CONCATENATE("(",INPUT!T39,")"))</f>
        <v/>
      </c>
      <c r="T34" s="358" t="str">
        <f>IF(INPUT!U39="","",CONCATENATE("(",INPUT!U39,")"))</f>
        <v/>
      </c>
      <c r="U34" s="358" t="str">
        <f>IF(INPUT!V39="","",CONCATENATE("(",INPUT!V39,")"))</f>
        <v/>
      </c>
      <c r="V34" s="615"/>
    </row>
    <row r="35" spans="1:22" s="946" customFormat="1" ht="11.1" customHeight="1" x14ac:dyDescent="0.2">
      <c r="A35" s="943" t="s">
        <v>47</v>
      </c>
      <c r="B35" s="944">
        <f>IF(ISERROR(B33+'Oper.St.'!C47+'Oper.St.'!C84),"",IF(B33+'Oper.St.'!C47+'Oper.St.'!C84=0,"",B33+'Oper.St.'!C47+'Oper.St.'!C84))</f>
        <v>9.9999999999999978E-2</v>
      </c>
      <c r="C35" s="944">
        <f>IF(ISERROR(C33+'Oper.St.'!D47+'Oper.St.'!D84),"",IF(C33+'Oper.St.'!D47+'Oper.St.'!D84=0,"",C33+'Oper.St.'!D47+'Oper.St.'!D84))</f>
        <v>0.11</v>
      </c>
      <c r="D35" s="944">
        <f>IF(ISERROR(D33+'Oper.St.'!E47+'Oper.St.'!E84),"",IF(D33+'Oper.St.'!E47+'Oper.St.'!E84=0,"",D33+'Oper.St.'!E47+'Oper.St.'!E84))</f>
        <v>0.2900000000000002</v>
      </c>
      <c r="E35" s="944">
        <f>IF(ISERROR(E33+'Oper.St.'!F47+'Oper.St.'!F84),"",IF(E33+'Oper.St.'!F47+'Oper.St.'!F84=0,"",E33+'Oper.St.'!F47+'Oper.St.'!F84))</f>
        <v>0.23699999999999988</v>
      </c>
      <c r="F35" s="944">
        <f>IF(ISERROR(F33+'Oper.St.'!G47+'Oper.St.'!G84),"",IF(F33+'Oper.St.'!G47+'Oper.St.'!G84=0,"",F33+'Oper.St.'!G47+'Oper.St.'!G84))</f>
        <v>2.1500000000000004</v>
      </c>
      <c r="G35" s="944">
        <f>IF(ISERROR(G33+'Oper.St.'!H47+'Oper.St.'!H84),"",IF(G33+'Oper.St.'!H47+'Oper.St.'!H84=0,"",G33+'Oper.St.'!H47+'Oper.St.'!H84))</f>
        <v>3.6975075000000017</v>
      </c>
      <c r="H35" s="944">
        <f>IF(ISERROR(H33+'Oper.St.'!I47+'Oper.St.'!I84),"",IF(H33+'Oper.St.'!I47+'Oper.St.'!I84=0,"",H33+'Oper.St.'!I47+'Oper.St.'!I84))</f>
        <v>3.8074090000000012</v>
      </c>
      <c r="I35" s="944">
        <f>IF(ISERROR(I33+'Oper.St.'!J47+'Oper.St.'!J84),"",IF(I33+'Oper.St.'!J47+'Oper.St.'!J84=0,"",I33+'Oper.St.'!J47+'Oper.St.'!J84))</f>
        <v>3.7217272499999998</v>
      </c>
      <c r="J35" s="944">
        <f>IF(ISERROR(J33+'Oper.St.'!K47+'Oper.St.'!K84),"",IF(J33+'Oper.St.'!K47+'Oper.St.'!K84=0,"",J33+'Oper.St.'!K47+'Oper.St.'!K84))</f>
        <v>3.6610794999999956</v>
      </c>
      <c r="K35" s="944">
        <f>IF(ISERROR(K33+'Oper.St.'!L47+'Oper.St.'!L84),"",IF(K33+'Oper.St.'!L47+'Oper.St.'!L84=0,"",K33+'Oper.St.'!L47+'Oper.St.'!L84))</f>
        <v>3.6484050000000003</v>
      </c>
      <c r="L35" s="944">
        <f>IF(ISERROR(L33+'Oper.St.'!M47+'Oper.St.'!M84),"",IF(L33+'Oper.St.'!M47+'Oper.St.'!M84=0,"",L33+'Oper.St.'!M47+'Oper.St.'!M84))</f>
        <v>3.7892687499999989</v>
      </c>
      <c r="M35" s="944" t="str">
        <f>IF(ISERROR(M33+'Oper.St.'!N47+'Oper.St.'!N84),"",IF(M33+'Oper.St.'!N47+'Oper.St.'!N84=0,"",M33+'Oper.St.'!N47+'Oper.St.'!N84))</f>
        <v/>
      </c>
      <c r="N35" s="944" t="str">
        <f>IF(ISERROR(N33+'Oper.St.'!O47+'Oper.St.'!O84),"",IF(N33+'Oper.St.'!O47+'Oper.St.'!O84=0,"",N33+'Oper.St.'!O47+'Oper.St.'!O84))</f>
        <v/>
      </c>
      <c r="O35" s="944" t="str">
        <f>IF(ISERROR(O33+'Oper.St.'!P47+'Oper.St.'!P84),"",IF(O33+'Oper.St.'!P47+'Oper.St.'!P84=0,"",O33+'Oper.St.'!P47+'Oper.St.'!P84))</f>
        <v/>
      </c>
      <c r="P35" s="944" t="str">
        <f>IF(ISERROR(P33+'Oper.St.'!Q47+'Oper.St.'!Q84),"",IF(P33+'Oper.St.'!Q47+'Oper.St.'!Q84=0,"",P33+'Oper.St.'!Q47+'Oper.St.'!Q84))</f>
        <v/>
      </c>
      <c r="Q35" s="944" t="str">
        <f>IF(ISERROR(Q33+'Oper.St.'!R47+'Oper.St.'!R84),"",IF(Q33+'Oper.St.'!R47+'Oper.St.'!R84=0,"",Q33+'Oper.St.'!R47+'Oper.St.'!R84))</f>
        <v/>
      </c>
      <c r="R35" s="944" t="str">
        <f>IF(ISERROR(R33+'Oper.St.'!S47+'Oper.St.'!S84),"",IF(R33+'Oper.St.'!S47+'Oper.St.'!S84=0,"",R33+'Oper.St.'!S47+'Oper.St.'!S84))</f>
        <v/>
      </c>
      <c r="S35" s="944" t="str">
        <f>IF(ISERROR(S33+'Oper.St.'!T47+'Oper.St.'!T84),"",IF(S33+'Oper.St.'!T47+'Oper.St.'!T84=0,"",S33+'Oper.St.'!T47+'Oper.St.'!T84))</f>
        <v/>
      </c>
      <c r="T35" s="944" t="str">
        <f>IF(ISERROR(T33+'Oper.St.'!U47+'Oper.St.'!U84),"",IF(T33+'Oper.St.'!U47+'Oper.St.'!U84=0,"",T33+'Oper.St.'!U47+'Oper.St.'!U84))</f>
        <v/>
      </c>
      <c r="U35" s="944" t="str">
        <f>IF(ISERROR(U33+'Oper.St.'!V47+'Oper.St.'!V84),"",IF(U33+'Oper.St.'!V47+'Oper.St.'!V84=0,"",U33+'Oper.St.'!V47+'Oper.St.'!V84))</f>
        <v/>
      </c>
      <c r="V35" s="945"/>
    </row>
    <row r="36" spans="1:22" s="355" customFormat="1" ht="11.1" customHeight="1" x14ac:dyDescent="0.2">
      <c r="A36" s="356"/>
      <c r="B36" s="358" t="str">
        <f>IF(INPUT!C40="","",CONCATENATE("(",INPUT!C40,")"))</f>
        <v/>
      </c>
      <c r="C36" s="358" t="str">
        <f>IF(INPUT!D40="","",CONCATENATE("(",INPUT!D40,")"))</f>
        <v/>
      </c>
      <c r="D36" s="358" t="str">
        <f>IF(INPUT!E40="","",CONCATENATE("(",INPUT!E40,")"))</f>
        <v/>
      </c>
      <c r="E36" s="358" t="str">
        <f>IF(INPUT!F40="","",CONCATENATE("(",INPUT!F40,")"))</f>
        <v/>
      </c>
      <c r="F36" s="358" t="str">
        <f>IF(INPUT!G40="","",CONCATENATE("(",INPUT!G40,")"))</f>
        <v/>
      </c>
      <c r="G36" s="358" t="str">
        <f>IF(INPUT!H40="","",CONCATENATE("(",INPUT!H40,")"))</f>
        <v/>
      </c>
      <c r="H36" s="358" t="str">
        <f>IF(INPUT!I40="","",CONCATENATE("(",INPUT!I40,")"))</f>
        <v/>
      </c>
      <c r="I36" s="358" t="str">
        <f>IF(INPUT!J40="","",CONCATENATE("(",INPUT!J40,")"))</f>
        <v/>
      </c>
      <c r="J36" s="358" t="str">
        <f>IF(INPUT!K40="","",CONCATENATE("(",INPUT!K40,")"))</f>
        <v/>
      </c>
      <c r="K36" s="358" t="str">
        <f>IF(INPUT!L40="","",CONCATENATE("(",INPUT!L40,")"))</f>
        <v/>
      </c>
      <c r="L36" s="358" t="str">
        <f>IF(INPUT!M40="","",CONCATENATE("(",INPUT!M40,")"))</f>
        <v/>
      </c>
      <c r="M36" s="358" t="str">
        <f>IF(INPUT!N40="","",CONCATENATE("(",INPUT!N40,")"))</f>
        <v/>
      </c>
      <c r="N36" s="358" t="str">
        <f>IF(INPUT!O40="","",CONCATENATE("(",INPUT!O40,")"))</f>
        <v/>
      </c>
      <c r="O36" s="358" t="str">
        <f>IF(INPUT!P40="","",CONCATENATE("(",INPUT!P40,")"))</f>
        <v/>
      </c>
      <c r="P36" s="358" t="str">
        <f>IF(INPUT!Q40="","",CONCATENATE("(",INPUT!Q40,")"))</f>
        <v/>
      </c>
      <c r="Q36" s="358" t="str">
        <f>IF(INPUT!R40="","",CONCATENATE("(",INPUT!R40,")"))</f>
        <v/>
      </c>
      <c r="R36" s="358" t="str">
        <f>IF(INPUT!S40="","",CONCATENATE("(",INPUT!S40,")"))</f>
        <v/>
      </c>
      <c r="S36" s="358" t="str">
        <f>IF(INPUT!T40="","",CONCATENATE("(",INPUT!T40,")"))</f>
        <v/>
      </c>
      <c r="T36" s="358" t="str">
        <f>IF(INPUT!U40="","",CONCATENATE("(",INPUT!U40,")"))</f>
        <v/>
      </c>
      <c r="U36" s="358" t="str">
        <f>IF(INPUT!V40="","",CONCATENATE("(",INPUT!V40,")"))</f>
        <v/>
      </c>
      <c r="V36" s="615"/>
    </row>
    <row r="37" spans="1:22" s="355" customFormat="1" ht="11.1" customHeight="1" x14ac:dyDescent="0.2">
      <c r="A37" s="354" t="s">
        <v>17</v>
      </c>
      <c r="B37" s="349">
        <f>IF(ISERROR(B29+'Oper.St.'!C47+'Oper.St.'!C73),"",IF(B29+'Oper.St.'!C47+'Oper.St.'!C73=0,"",B29+'Oper.St.'!C47+'Oper.St.'!C73))</f>
        <v>0.12999999999999998</v>
      </c>
      <c r="C37" s="349">
        <f>IF(ISERROR(C29+'Oper.St.'!D47+'Oper.St.'!D73),"",IF(C29+'Oper.St.'!D47+'Oper.St.'!D73=0,"",C29+'Oper.St.'!D47+'Oper.St.'!D73))</f>
        <v>0.15</v>
      </c>
      <c r="D37" s="349">
        <f>IF(ISERROR(D29+'Oper.St.'!E47+'Oper.St.'!E73),"",IF(D29+'Oper.St.'!E47+'Oper.St.'!E73=0,"",D29+'Oper.St.'!E47+'Oper.St.'!E73))</f>
        <v>0.45000000000000018</v>
      </c>
      <c r="E37" s="349">
        <f>IF(ISERROR(E29+'Oper.St.'!F47+'Oper.St.'!F73),"",IF(E29+'Oper.St.'!F47+'Oper.St.'!F73=0,"",E29+'Oper.St.'!F47+'Oper.St.'!F73))</f>
        <v>0.79999999999999982</v>
      </c>
      <c r="F37" s="349">
        <f>IF(ISERROR(F29+'Oper.St.'!G47+'Oper.St.'!G73),"",IF(F29+'Oper.St.'!G47+'Oper.St.'!G73=0,"",F29+'Oper.St.'!G47+'Oper.St.'!G73))</f>
        <v>3.2800000000000007</v>
      </c>
      <c r="G37" s="349">
        <f>IF(ISERROR(G29+'Oper.St.'!H47+'Oper.St.'!H73),"",IF(G29+'Oper.St.'!H47+'Oper.St.'!H73=0,"",G29+'Oper.St.'!H47+'Oper.St.'!H73))</f>
        <v>5.3400000000000025</v>
      </c>
      <c r="H37" s="349">
        <f>IF(ISERROR(H29+'Oper.St.'!I47+'Oper.St.'!I73),"",IF(H29+'Oper.St.'!I47+'Oper.St.'!I73=0,"",H29+'Oper.St.'!I47+'Oper.St.'!I73))</f>
        <v>5.4500000000000028</v>
      </c>
      <c r="I37" s="349">
        <f>IF(ISERROR(I29+'Oper.St.'!J47+'Oper.St.'!J73),"",IF(I29+'Oper.St.'!J47+'Oper.St.'!J73=0,"",I29+'Oper.St.'!J47+'Oper.St.'!J73))</f>
        <v>5.3200000000000012</v>
      </c>
      <c r="J37" s="349">
        <f>IF(ISERROR(J29+'Oper.St.'!K47+'Oper.St.'!K73),"",IF(J29+'Oper.St.'!K47+'Oper.St.'!K73=0,"",J29+'Oper.St.'!K47+'Oper.St.'!K73))</f>
        <v>5.1799999999999944</v>
      </c>
      <c r="K37" s="349">
        <f>IF(ISERROR(K29+'Oper.St.'!L47+'Oper.St.'!L73),"",IF(K29+'Oper.St.'!L47+'Oper.St.'!L73=0,"",K29+'Oper.St.'!L47+'Oper.St.'!L73))</f>
        <v>5.1000000000000014</v>
      </c>
      <c r="L37" s="349">
        <f>IF(ISERROR(L29+'Oper.St.'!M47+'Oper.St.'!M73),"",IF(L29+'Oper.St.'!M47+'Oper.St.'!M73=0,"",L29+'Oper.St.'!M47+'Oper.St.'!M73))</f>
        <v>5.17</v>
      </c>
      <c r="M37" s="349" t="str">
        <f>IF(ISERROR(M29+'Oper.St.'!N47+'Oper.St.'!N73),"",IF(M29+'Oper.St.'!N47+'Oper.St.'!N73=0,"",M29+'Oper.St.'!N47+'Oper.St.'!N73))</f>
        <v/>
      </c>
      <c r="N37" s="349" t="str">
        <f>IF(ISERROR(N29+'Oper.St.'!O47+'Oper.St.'!O73),"",IF(N29+'Oper.St.'!O47+'Oper.St.'!O73=0,"",N29+'Oper.St.'!O47+'Oper.St.'!O73))</f>
        <v/>
      </c>
      <c r="O37" s="349" t="str">
        <f>IF(ISERROR(O29+'Oper.St.'!P47+'Oper.St.'!P73),"",IF(O29+'Oper.St.'!P47+'Oper.St.'!P73=0,"",O29+'Oper.St.'!P47+'Oper.St.'!P73))</f>
        <v/>
      </c>
      <c r="P37" s="349" t="str">
        <f>IF(ISERROR(P29+'Oper.St.'!Q47+'Oper.St.'!Q73),"",IF(P29+'Oper.St.'!Q47+'Oper.St.'!Q73=0,"",P29+'Oper.St.'!Q47+'Oper.St.'!Q73))</f>
        <v/>
      </c>
      <c r="Q37" s="349" t="str">
        <f>IF(ISERROR(Q29+'Oper.St.'!R47+'Oper.St.'!R73),"",IF(Q29+'Oper.St.'!R47+'Oper.St.'!R73=0,"",Q29+'Oper.St.'!R47+'Oper.St.'!R73))</f>
        <v/>
      </c>
      <c r="R37" s="349" t="str">
        <f>IF(ISERROR(R29+'Oper.St.'!S47+'Oper.St.'!S73),"",IF(R29+'Oper.St.'!S47+'Oper.St.'!S73=0,"",R29+'Oper.St.'!S47+'Oper.St.'!S73))</f>
        <v/>
      </c>
      <c r="S37" s="349" t="str">
        <f>IF(ISERROR(S29+'Oper.St.'!T47+'Oper.St.'!T73),"",IF(S29+'Oper.St.'!T47+'Oper.St.'!T73=0,"",S29+'Oper.St.'!T47+'Oper.St.'!T73))</f>
        <v/>
      </c>
      <c r="T37" s="349" t="str">
        <f>IF(ISERROR(T29+'Oper.St.'!U47+'Oper.St.'!U73),"",IF(T29+'Oper.St.'!U47+'Oper.St.'!U73=0,"",T29+'Oper.St.'!U47+'Oper.St.'!U73))</f>
        <v/>
      </c>
      <c r="U37" s="349" t="str">
        <f>IF(ISERROR(U29+'Oper.St.'!V47+'Oper.St.'!V73),"",IF(U29+'Oper.St.'!V47+'Oper.St.'!V73=0,"",U29+'Oper.St.'!V47+'Oper.St.'!V73))</f>
        <v/>
      </c>
      <c r="V37" s="615"/>
    </row>
    <row r="38" spans="1:22" s="355" customFormat="1" ht="11.1" customHeight="1" x14ac:dyDescent="0.2">
      <c r="A38" s="356"/>
      <c r="B38" s="358" t="str">
        <f>IF(INPUT!C41="","",CONCATENATE("(",INPUT!C41,")"))</f>
        <v/>
      </c>
      <c r="C38" s="358" t="str">
        <f>IF(INPUT!D41="","",CONCATENATE("(",INPUT!D41,")"))</f>
        <v/>
      </c>
      <c r="D38" s="358" t="str">
        <f>IF(INPUT!E41="","",CONCATENATE("(",INPUT!E41,")"))</f>
        <v/>
      </c>
      <c r="E38" s="358" t="str">
        <f>IF(INPUT!F41="","",CONCATENATE("(",INPUT!F41,")"))</f>
        <v/>
      </c>
      <c r="F38" s="358" t="str">
        <f>IF(INPUT!G41="","",CONCATENATE("(",INPUT!G41,")"))</f>
        <v/>
      </c>
      <c r="G38" s="358" t="str">
        <f>IF(INPUT!H41="","",CONCATENATE("(",INPUT!H41,")"))</f>
        <v/>
      </c>
      <c r="H38" s="358" t="str">
        <f>IF(INPUT!I41="","",CONCATENATE("(",INPUT!I41,")"))</f>
        <v/>
      </c>
      <c r="I38" s="358" t="str">
        <f>IF(INPUT!J41="","",CONCATENATE("(",INPUT!J41,")"))</f>
        <v/>
      </c>
      <c r="J38" s="358" t="str">
        <f>IF(INPUT!K41="","",CONCATENATE("(",INPUT!K41,")"))</f>
        <v/>
      </c>
      <c r="K38" s="358" t="str">
        <f>IF(INPUT!L41="","",CONCATENATE("(",INPUT!L41,")"))</f>
        <v/>
      </c>
      <c r="L38" s="358" t="str">
        <f>IF(INPUT!M41="","",CONCATENATE("(",INPUT!M41,")"))</f>
        <v/>
      </c>
      <c r="M38" s="358" t="str">
        <f>IF(INPUT!N41="","",CONCATENATE("(",INPUT!N41,")"))</f>
        <v/>
      </c>
      <c r="N38" s="358" t="str">
        <f>IF(INPUT!O41="","",CONCATENATE("(",INPUT!O41,")"))</f>
        <v/>
      </c>
      <c r="O38" s="358" t="str">
        <f>IF(INPUT!P41="","",CONCATENATE("(",INPUT!P41,")"))</f>
        <v/>
      </c>
      <c r="P38" s="358" t="str">
        <f>IF(INPUT!Q41="","",CONCATENATE("(",INPUT!Q41,")"))</f>
        <v/>
      </c>
      <c r="Q38" s="358" t="str">
        <f>IF(INPUT!R41="","",CONCATENATE("(",INPUT!R41,")"))</f>
        <v/>
      </c>
      <c r="R38" s="358" t="str">
        <f>IF(INPUT!S41="","",CONCATENATE("(",INPUT!S41,")"))</f>
        <v/>
      </c>
      <c r="S38" s="358" t="str">
        <f>IF(INPUT!T41="","",CONCATENATE("(",INPUT!T41,")"))</f>
        <v/>
      </c>
      <c r="T38" s="358" t="str">
        <f>IF(INPUT!U41="","",CONCATENATE("(",INPUT!U41,")"))</f>
        <v/>
      </c>
      <c r="U38" s="358" t="str">
        <f>IF(INPUT!V41="","",CONCATENATE("(",INPUT!V41,")"))</f>
        <v/>
      </c>
      <c r="V38" s="615"/>
    </row>
    <row r="39" spans="1:22" s="355" customFormat="1" ht="11.1" customHeight="1" x14ac:dyDescent="0.2">
      <c r="A39" s="354" t="s">
        <v>48</v>
      </c>
      <c r="B39" s="349" t="str">
        <f>IF(ISERROR(B37/B23),"",IF(B37/B23=0,"",B37/B23))</f>
        <v/>
      </c>
      <c r="C39" s="349" t="str">
        <f t="shared" ref="C39:U39" si="2">IF(ISERROR(C37/C23),"",IF(C37/C23=0,"",C37/C23))</f>
        <v/>
      </c>
      <c r="D39" s="349">
        <f t="shared" si="2"/>
        <v>9.0000000000000036</v>
      </c>
      <c r="E39" s="349">
        <f t="shared" si="2"/>
        <v>1.7021276595744679</v>
      </c>
      <c r="F39" s="349">
        <f t="shared" si="2"/>
        <v>3.6043956043956049</v>
      </c>
      <c r="G39" s="349">
        <f t="shared" si="2"/>
        <v>4.6464075177829516</v>
      </c>
      <c r="H39" s="349">
        <f t="shared" si="2"/>
        <v>5.6469076704692611</v>
      </c>
      <c r="I39" s="349">
        <f t="shared" si="2"/>
        <v>6.3519923107461436</v>
      </c>
      <c r="J39" s="349">
        <f t="shared" si="2"/>
        <v>7.6029443062313122</v>
      </c>
      <c r="K39" s="349">
        <f t="shared" si="2"/>
        <v>10.182689427972431</v>
      </c>
      <c r="L39" s="349">
        <f t="shared" si="2"/>
        <v>17.939709390587666</v>
      </c>
      <c r="M39" s="349" t="str">
        <f t="shared" si="2"/>
        <v/>
      </c>
      <c r="N39" s="349" t="str">
        <f t="shared" si="2"/>
        <v/>
      </c>
      <c r="O39" s="349" t="str">
        <f t="shared" si="2"/>
        <v/>
      </c>
      <c r="P39" s="349" t="str">
        <f t="shared" si="2"/>
        <v/>
      </c>
      <c r="Q39" s="349" t="str">
        <f t="shared" si="2"/>
        <v/>
      </c>
      <c r="R39" s="349" t="str">
        <f t="shared" si="2"/>
        <v/>
      </c>
      <c r="S39" s="349" t="str">
        <f t="shared" si="2"/>
        <v/>
      </c>
      <c r="T39" s="349" t="str">
        <f t="shared" si="2"/>
        <v/>
      </c>
      <c r="U39" s="349" t="str">
        <f t="shared" si="2"/>
        <v/>
      </c>
      <c r="V39" s="615"/>
    </row>
    <row r="40" spans="1:22" s="355" customFormat="1" ht="11.1" customHeight="1" x14ac:dyDescent="0.2">
      <c r="A40" s="356"/>
      <c r="B40" s="358" t="str">
        <f>IF(INPUT!C42="","",CONCATENATE("(",INPUT!C42,")"))</f>
        <v/>
      </c>
      <c r="C40" s="358" t="str">
        <f>IF(INPUT!D42="","",CONCATENATE("(",INPUT!D42,")"))</f>
        <v/>
      </c>
      <c r="D40" s="358" t="str">
        <f>IF(INPUT!E42="","",CONCATENATE("(",INPUT!E42,")"))</f>
        <v/>
      </c>
      <c r="E40" s="358" t="str">
        <f>IF(INPUT!F42="","",CONCATENATE("(",INPUT!F42,")"))</f>
        <v/>
      </c>
      <c r="F40" s="358" t="str">
        <f>IF(INPUT!G42="","",CONCATENATE("(",INPUT!G42,")"))</f>
        <v/>
      </c>
      <c r="G40" s="358" t="str">
        <f>IF(INPUT!H42="","",CONCATENATE("(",INPUT!H42,")"))</f>
        <v/>
      </c>
      <c r="H40" s="358" t="str">
        <f>IF(INPUT!I42="","",CONCATENATE("(",INPUT!I42,")"))</f>
        <v/>
      </c>
      <c r="I40" s="358" t="str">
        <f>IF(INPUT!J42="","",CONCATENATE("(",INPUT!J42,")"))</f>
        <v/>
      </c>
      <c r="J40" s="358" t="str">
        <f>IF(INPUT!K42="","",CONCATENATE("(",INPUT!K42,")"))</f>
        <v/>
      </c>
      <c r="K40" s="358" t="str">
        <f>IF(INPUT!L42="","",CONCATENATE("(",INPUT!L42,")"))</f>
        <v/>
      </c>
      <c r="L40" s="358" t="str">
        <f>IF(INPUT!M42="","",CONCATENATE("(",INPUT!M42,")"))</f>
        <v/>
      </c>
      <c r="M40" s="358" t="str">
        <f>IF(INPUT!N42="","",CONCATENATE("(",INPUT!N42,")"))</f>
        <v/>
      </c>
      <c r="N40" s="358" t="str">
        <f>IF(INPUT!O42="","",CONCATENATE("(",INPUT!O42,")"))</f>
        <v/>
      </c>
      <c r="O40" s="358" t="str">
        <f>IF(INPUT!P42="","",CONCATENATE("(",INPUT!P42,")"))</f>
        <v/>
      </c>
      <c r="P40" s="358" t="str">
        <f>IF(INPUT!Q42="","",CONCATENATE("(",INPUT!Q42,")"))</f>
        <v/>
      </c>
      <c r="Q40" s="358" t="str">
        <f>IF(INPUT!R42="","",CONCATENATE("(",INPUT!R42,")"))</f>
        <v/>
      </c>
      <c r="R40" s="358" t="str">
        <f>IF(INPUT!S42="","",CONCATENATE("(",INPUT!S42,")"))</f>
        <v/>
      </c>
      <c r="S40" s="358" t="str">
        <f>IF(INPUT!T42="","",CONCATENATE("(",INPUT!T42,")"))</f>
        <v/>
      </c>
      <c r="T40" s="358" t="str">
        <f>IF(INPUT!U42="","",CONCATENATE("(",INPUT!U42,")"))</f>
        <v/>
      </c>
      <c r="U40" s="358" t="str">
        <f>IF(INPUT!V42="","",CONCATENATE("(",INPUT!V42,")"))</f>
        <v/>
      </c>
      <c r="V40" s="615"/>
    </row>
    <row r="41" spans="1:22" s="355" customFormat="1" ht="11.1" customHeight="1" x14ac:dyDescent="0.2">
      <c r="A41" s="354" t="s">
        <v>49</v>
      </c>
      <c r="B41" s="349">
        <f>IF(ISERROR(Liab!C84),"",IF(Liab!C84=0,"",Liab!C84))</f>
        <v>0.01</v>
      </c>
      <c r="C41" s="349">
        <f>IF(ISERROR(Liab!D84),"",IF(Liab!D84=0,"",Liab!D84))</f>
        <v>0.01</v>
      </c>
      <c r="D41" s="349">
        <f>IF(ISERROR(Liab!E84),"",IF(Liab!E84=0,"",Liab!E84))</f>
        <v>0.01</v>
      </c>
      <c r="E41" s="349">
        <f>IF(ISERROR(Liab!F84),"",IF(Liab!F84=0,"",Liab!F84))</f>
        <v>8</v>
      </c>
      <c r="F41" s="349">
        <f>IF(ISERROR(Liab!G84),"",IF(Liab!G84=0,"",Liab!G84))</f>
        <v>10.119999999999999</v>
      </c>
      <c r="G41" s="349">
        <f>IF(ISERROR(Liab!H84),"",IF(Liab!H84=0,"",Liab!H84))</f>
        <v>10.119999999999999</v>
      </c>
      <c r="H41" s="349">
        <f>IF(ISERROR(Liab!I84),"",IF(Liab!I84=0,"",Liab!I84))</f>
        <v>10.119999999999999</v>
      </c>
      <c r="I41" s="349">
        <f>IF(ISERROR(Liab!J84),"",IF(Liab!J84=0,"",Liab!J84))</f>
        <v>10.119999999999999</v>
      </c>
      <c r="J41" s="349">
        <f>IF(ISERROR(Liab!K84),"",IF(Liab!K84=0,"",Liab!K84))</f>
        <v>10.119999999999999</v>
      </c>
      <c r="K41" s="349">
        <f>IF(ISERROR(Liab!L84),"",IF(Liab!L84=0,"",Liab!L84))</f>
        <v>10.119999999999999</v>
      </c>
      <c r="L41" s="349">
        <f>IF(ISERROR(Liab!M84),"",IF(Liab!M84=0,"",Liab!M84))</f>
        <v>10.119999999999999</v>
      </c>
      <c r="M41" s="349" t="str">
        <f>IF(ISERROR(Liab!N84),"",IF(Liab!N84=0,"",Liab!N84))</f>
        <v/>
      </c>
      <c r="N41" s="349" t="str">
        <f>IF(ISERROR(Liab!O84),"",IF(Liab!O84=0,"",Liab!O84))</f>
        <v/>
      </c>
      <c r="O41" s="349" t="str">
        <f>IF(ISERROR(Liab!P84),"",IF(Liab!P84=0,"",Liab!P84))</f>
        <v/>
      </c>
      <c r="P41" s="349" t="str">
        <f>IF(ISERROR(Liab!Q84),"",IF(Liab!Q84=0,"",Liab!Q84))</f>
        <v/>
      </c>
      <c r="Q41" s="349" t="str">
        <f>IF(ISERROR(Liab!R84),"",IF(Liab!R84=0,"",Liab!R84))</f>
        <v/>
      </c>
      <c r="R41" s="349" t="str">
        <f>IF(ISERROR(Liab!S84),"",IF(Liab!S84=0,"",Liab!S84))</f>
        <v/>
      </c>
      <c r="S41" s="349" t="str">
        <f>IF(ISERROR(Liab!T84),"",IF(Liab!T84=0,"",Liab!T84))</f>
        <v/>
      </c>
      <c r="T41" s="349" t="str">
        <f>IF(ISERROR(Liab!U84),"",IF(Liab!U84=0,"",Liab!U84))</f>
        <v/>
      </c>
      <c r="U41" s="349" t="str">
        <f>IF(ISERROR(Liab!V84),"",IF(Liab!V84=0,"",Liab!V84))</f>
        <v/>
      </c>
      <c r="V41" s="615"/>
    </row>
    <row r="42" spans="1:22" s="355" customFormat="1" ht="11.1" customHeight="1" x14ac:dyDescent="0.2">
      <c r="A42" s="356"/>
      <c r="B42" s="358" t="str">
        <f>IF(INPUT!C43="","",CONCATENATE("(",INPUT!C43,")"))</f>
        <v/>
      </c>
      <c r="C42" s="358" t="str">
        <f>IF(INPUT!D43="","",CONCATENATE("(",INPUT!D43,")"))</f>
        <v/>
      </c>
      <c r="D42" s="358" t="str">
        <f>IF(INPUT!E43="","",CONCATENATE("(",INPUT!E43,")"))</f>
        <v/>
      </c>
      <c r="E42" s="358" t="str">
        <f>IF(INPUT!F43="","",CONCATENATE("(",INPUT!F43,")"))</f>
        <v/>
      </c>
      <c r="F42" s="358" t="str">
        <f>IF(INPUT!G43="","",CONCATENATE("(",INPUT!G43,")"))</f>
        <v/>
      </c>
      <c r="G42" s="358" t="str">
        <f>IF(INPUT!H43="","",CONCATENATE("(",INPUT!H43,")"))</f>
        <v/>
      </c>
      <c r="H42" s="358" t="str">
        <f>IF(INPUT!I43="","",CONCATENATE("(",INPUT!I43,")"))</f>
        <v/>
      </c>
      <c r="I42" s="358" t="str">
        <f>IF(INPUT!J43="","",CONCATENATE("(",INPUT!J43,")"))</f>
        <v/>
      </c>
      <c r="J42" s="358" t="str">
        <f>IF(INPUT!K43="","",CONCATENATE("(",INPUT!K43,")"))</f>
        <v/>
      </c>
      <c r="K42" s="358" t="str">
        <f>IF(INPUT!L43="","",CONCATENATE("(",INPUT!L43,")"))</f>
        <v/>
      </c>
      <c r="L42" s="358" t="str">
        <f>IF(INPUT!M43="","",CONCATENATE("(",INPUT!M43,")"))</f>
        <v/>
      </c>
      <c r="M42" s="358" t="str">
        <f>IF(INPUT!N43="","",CONCATENATE("(",INPUT!N43,")"))</f>
        <v/>
      </c>
      <c r="N42" s="358" t="str">
        <f>IF(INPUT!O43="","",CONCATENATE("(",INPUT!O43,")"))</f>
        <v/>
      </c>
      <c r="O42" s="358" t="str">
        <f>IF(INPUT!P43="","",CONCATENATE("(",INPUT!P43,")"))</f>
        <v/>
      </c>
      <c r="P42" s="358" t="str">
        <f>IF(INPUT!Q43="","",CONCATENATE("(",INPUT!Q43,")"))</f>
        <v/>
      </c>
      <c r="Q42" s="358" t="str">
        <f>IF(INPUT!R43="","",CONCATENATE("(",INPUT!R43,")"))</f>
        <v/>
      </c>
      <c r="R42" s="358" t="str">
        <f>IF(INPUT!S43="","",CONCATENATE("(",INPUT!S43,")"))</f>
        <v/>
      </c>
      <c r="S42" s="358" t="str">
        <f>IF(INPUT!T43="","",CONCATENATE("(",INPUT!T43,")"))</f>
        <v/>
      </c>
      <c r="T42" s="358" t="str">
        <f>IF(INPUT!U43="","",CONCATENATE("(",INPUT!U43,")"))</f>
        <v/>
      </c>
      <c r="U42" s="358" t="str">
        <f>IF(INPUT!V43="","",CONCATENATE("(",INPUT!V43,")"))</f>
        <v/>
      </c>
      <c r="V42" s="615"/>
    </row>
    <row r="43" spans="1:22" s="355" customFormat="1" ht="11.1" customHeight="1" x14ac:dyDescent="0.2">
      <c r="A43" s="354" t="s">
        <v>50</v>
      </c>
      <c r="B43" s="349">
        <f>IF(ISERROR(Liab!C101-Asset!C89-Asset!C85-Liab!C88),"",IF(Liab!C101-Asset!C89-Asset!C85-Liab!C88=0,"",Liab!C101-Asset!C89-Asset!C85-Liab!C88))</f>
        <v>7.9999999999999974E-2</v>
      </c>
      <c r="C43" s="349">
        <f>IF(ISERROR(Liab!D101-Asset!D89-Asset!D85-Liab!D88),"",IF(Liab!D101-Asset!D89-Asset!D85-Liab!D88=0,"",Liab!D101-Asset!D89-Asset!D85-Liab!D88))</f>
        <v>0.16999999999999998</v>
      </c>
      <c r="D43" s="349">
        <f>IF(ISERROR(Liab!E101-Asset!E89-Asset!E85-Liab!E88),"",IF(Liab!E101-Asset!E89-Asset!E85-Liab!E88=0,"",Liab!E101-Asset!E89-Asset!E85-Liab!E88))</f>
        <v>0.44000000000000017</v>
      </c>
      <c r="E43" s="349">
        <f>IF(ISERROR(Liab!F101-Asset!F89-Asset!F85-Liab!F88),"",IF(Liab!F101-Asset!F89-Asset!F85-Liab!F88=0,"",Liab!F101-Asset!F89-Asset!F85-Liab!F88))</f>
        <v>8.5670000000000002</v>
      </c>
      <c r="F43" s="349">
        <f>IF(ISERROR(Liab!G101-Asset!G89-Asset!G85-Liab!G88),"",IF(Liab!G101-Asset!G89-Asset!G85-Liab!G88=0,"",Liab!G101-Asset!G89-Asset!G85-Liab!G88))</f>
        <v>11.247</v>
      </c>
      <c r="G43" s="349">
        <f>IF(ISERROR(Liab!H101-Asset!H89-Asset!H85-Liab!H88),"",IF(Liab!H101-Asset!H89-Asset!H85-Liab!H88=0,"",Liab!H101-Asset!H89-Asset!H85-Liab!H88))</f>
        <v>12.464507500000002</v>
      </c>
      <c r="H43" s="349">
        <f>IF(ISERROR(Liab!I101-Asset!I89-Asset!I85-Liab!I88),"",IF(Liab!I101-Asset!I89-Asset!I85-Liab!I88=0,"",Liab!I101-Asset!I89-Asset!I85-Liab!I88))</f>
        <v>14.111916500000003</v>
      </c>
      <c r="I43" s="349">
        <f>IF(ISERROR(Liab!J101-Asset!J89-Asset!J85-Liab!J88),"",IF(Liab!J101-Asset!J89-Asset!J85-Liab!J88=0,"",Liab!J101-Asset!J89-Asset!J85-Liab!J88))</f>
        <v>15.953643750000003</v>
      </c>
      <c r="J43" s="349">
        <f>IF(ISERROR(Liab!K101-Asset!K89-Asset!K85-Liab!K88),"",IF(Liab!K101-Asset!K89-Asset!K85-Liab!K88=0,"",Liab!K101-Asset!K89-Asset!K85-Liab!K88))</f>
        <v>17.974723249999997</v>
      </c>
      <c r="K43" s="349">
        <f>IF(ISERROR(Liab!L101-Asset!L89-Asset!L85-Liab!L88),"",IF(Liab!L101-Asset!L89-Asset!L85-Liab!L88=0,"",Liab!L101-Asset!L89-Asset!L85-Liab!L88))</f>
        <v>20.193128250000001</v>
      </c>
      <c r="L43" s="349">
        <f>IF(ISERROR(Liab!M101-Asset!M89-Asset!M85-Liab!M88),"",IF(Liab!M101-Asset!M89-Asset!M85-Liab!M88=0,"",Liab!M101-Asset!M89-Asset!M85-Liab!M88))</f>
        <v>22.742396999999997</v>
      </c>
      <c r="M43" s="349">
        <f>IF(ISERROR(Liab!N101-Asset!N89-Asset!N85-Liab!N88),"",IF(Liab!N101-Asset!N89-Asset!N85-Liab!N88=0,"",Liab!N101-Asset!N89-Asset!N85-Liab!N88))</f>
        <v>12.622396999999999</v>
      </c>
      <c r="N43" s="349">
        <f>IF(ISERROR(Liab!O101-Asset!O89-Asset!O85-Liab!O88),"",IF(Liab!O101-Asset!O89-Asset!O85-Liab!O88=0,"",Liab!O101-Asset!O89-Asset!O85-Liab!O88))</f>
        <v>12.622396999999999</v>
      </c>
      <c r="O43" s="349">
        <f>IF(ISERROR(Liab!P101-Asset!P89-Asset!P85-Liab!P88),"",IF(Liab!P101-Asset!P89-Asset!P85-Liab!P88=0,"",Liab!P101-Asset!P89-Asset!P85-Liab!P88))</f>
        <v>12.622396999999999</v>
      </c>
      <c r="P43" s="349">
        <f>IF(ISERROR(Liab!Q101-Asset!Q89-Asset!Q85-Liab!Q88),"",IF(Liab!Q101-Asset!Q89-Asset!Q85-Liab!Q88=0,"",Liab!Q101-Asset!Q89-Asset!Q85-Liab!Q88))</f>
        <v>12.622396999999999</v>
      </c>
      <c r="Q43" s="349">
        <f>IF(ISERROR(Liab!R101-Asset!R89-Asset!R85-Liab!R88),"",IF(Liab!R101-Asset!R89-Asset!R85-Liab!R88=0,"",Liab!R101-Asset!R89-Asset!R85-Liab!R88))</f>
        <v>12.622396999999999</v>
      </c>
      <c r="R43" s="349">
        <f>IF(ISERROR(Liab!S101-Asset!S89-Asset!S85-Liab!S88),"",IF(Liab!S101-Asset!S89-Asset!S85-Liab!S88=0,"",Liab!S101-Asset!S89-Asset!S85-Liab!S88))</f>
        <v>12.622396999999999</v>
      </c>
      <c r="S43" s="349">
        <f>IF(ISERROR(Liab!T101-Asset!T89-Asset!T85-Liab!T88),"",IF(Liab!T101-Asset!T89-Asset!T85-Liab!T88=0,"",Liab!T101-Asset!T89-Asset!T85-Liab!T88))</f>
        <v>12.622396999999999</v>
      </c>
      <c r="T43" s="349">
        <f>IF(ISERROR(Liab!U101-Asset!U89-Asset!U85-Liab!U88),"",IF(Liab!U101-Asset!U89-Asset!U85-Liab!U88=0,"",Liab!U101-Asset!U89-Asset!U85-Liab!U88))</f>
        <v>12.622396999999999</v>
      </c>
      <c r="U43" s="349">
        <f>IF(ISERROR(Liab!V101-Asset!V89-Asset!V85-Liab!V88),"",IF(Liab!V101-Asset!V89-Asset!V85-Liab!V88=0,"",Liab!V101-Asset!V89-Asset!V85-Liab!V88))</f>
        <v>12.622396999999999</v>
      </c>
      <c r="V43" s="615"/>
    </row>
    <row r="44" spans="1:22" s="355" customFormat="1" ht="11.1" customHeight="1" x14ac:dyDescent="0.2">
      <c r="A44" s="356"/>
      <c r="B44" s="358" t="str">
        <f>IF(INPUT!C44="","",CONCATENATE("(",INPUT!C44,")"))</f>
        <v/>
      </c>
      <c r="C44" s="358" t="str">
        <f>IF(INPUT!D44="","",CONCATENATE("(",INPUT!D44,")"))</f>
        <v/>
      </c>
      <c r="D44" s="358" t="str">
        <f>IF(INPUT!E44="","",CONCATENATE("(",INPUT!E44,")"))</f>
        <v/>
      </c>
      <c r="E44" s="358" t="str">
        <f>IF(INPUT!F44="","",CONCATENATE("(",INPUT!F44,")"))</f>
        <v/>
      </c>
      <c r="F44" s="358" t="str">
        <f>IF(INPUT!G44="","",CONCATENATE("(",INPUT!G44,")"))</f>
        <v/>
      </c>
      <c r="G44" s="358" t="str">
        <f>IF(INPUT!H44="","",CONCATENATE("(",INPUT!H44,")"))</f>
        <v/>
      </c>
      <c r="H44" s="358" t="str">
        <f>IF(INPUT!I44="","",CONCATENATE("(",INPUT!I44,")"))</f>
        <v/>
      </c>
      <c r="I44" s="358" t="str">
        <f>IF(INPUT!J44="","",CONCATENATE("(",INPUT!J44,")"))</f>
        <v/>
      </c>
      <c r="J44" s="358" t="str">
        <f>IF(INPUT!K44="","",CONCATENATE("(",INPUT!K44,")"))</f>
        <v/>
      </c>
      <c r="K44" s="358" t="str">
        <f>IF(INPUT!L44="","",CONCATENATE("(",INPUT!L44,")"))</f>
        <v/>
      </c>
      <c r="L44" s="358" t="str">
        <f>IF(INPUT!M44="","",CONCATENATE("(",INPUT!M44,")"))</f>
        <v/>
      </c>
      <c r="M44" s="358" t="str">
        <f>IF(INPUT!N44="","",CONCATENATE("(",INPUT!N44,")"))</f>
        <v/>
      </c>
      <c r="N44" s="358" t="str">
        <f>IF(INPUT!O44="","",CONCATENATE("(",INPUT!O44,")"))</f>
        <v/>
      </c>
      <c r="O44" s="358" t="str">
        <f>IF(INPUT!P44="","",CONCATENATE("(",INPUT!P44,")"))</f>
        <v/>
      </c>
      <c r="P44" s="358" t="str">
        <f>IF(INPUT!Q44="","",CONCATENATE("(",INPUT!Q44,")"))</f>
        <v/>
      </c>
      <c r="Q44" s="358" t="str">
        <f>IF(INPUT!R44="","",CONCATENATE("(",INPUT!R44,")"))</f>
        <v/>
      </c>
      <c r="R44" s="358" t="str">
        <f>IF(INPUT!S44="","",CONCATENATE("(",INPUT!S44,")"))</f>
        <v/>
      </c>
      <c r="S44" s="358" t="str">
        <f>IF(INPUT!T44="","",CONCATENATE("(",INPUT!T44,")"))</f>
        <v/>
      </c>
      <c r="T44" s="358" t="str">
        <f>IF(INPUT!U44="","",CONCATENATE("(",INPUT!U44,")"))</f>
        <v/>
      </c>
      <c r="U44" s="358" t="str">
        <f>IF(INPUT!V44="","",CONCATENATE("(",INPUT!V44,")"))</f>
        <v/>
      </c>
      <c r="V44" s="615"/>
    </row>
    <row r="45" spans="1:22" s="355" customFormat="1" ht="11.1" customHeight="1" x14ac:dyDescent="0.2">
      <c r="A45" s="354" t="s">
        <v>19</v>
      </c>
      <c r="B45" s="349">
        <f>IF(ISERROR(B43-Asset!C70),"",IF(B43-Asset!C70=0,"",B43-Asset!C70))</f>
        <v>7.9999999999999974E-2</v>
      </c>
      <c r="C45" s="349">
        <f>IF(ISERROR(C43-Asset!D70),"",IF(C43-Asset!D70=0,"",C43-Asset!D70))</f>
        <v>0.16999999999999998</v>
      </c>
      <c r="D45" s="349">
        <f>IF(ISERROR(D43-Asset!E70),"",IF(D43-Asset!E70=0,"",D43-Asset!E70))</f>
        <v>0.44000000000000017</v>
      </c>
      <c r="E45" s="349">
        <f>IF(ISERROR(E43-Asset!F70),"",IF(E43-Asset!F70=0,"",E43-Asset!F70))</f>
        <v>8.5670000000000002</v>
      </c>
      <c r="F45" s="349">
        <f>IF(ISERROR(F43-Asset!G70),"",IF(F43-Asset!G70=0,"",F43-Asset!G70))</f>
        <v>11.247</v>
      </c>
      <c r="G45" s="349">
        <f>IF(ISERROR(G43-Asset!H70),"",IF(G43-Asset!H70=0,"",G43-Asset!H70))</f>
        <v>12.464507500000002</v>
      </c>
      <c r="H45" s="349">
        <f>IF(ISERROR(H43-Asset!I70),"",IF(H43-Asset!I70=0,"",H43-Asset!I70))</f>
        <v>14.111916500000003</v>
      </c>
      <c r="I45" s="349">
        <f>IF(ISERROR(I43-Asset!J70),"",IF(I43-Asset!J70=0,"",I43-Asset!J70))</f>
        <v>15.953643750000003</v>
      </c>
      <c r="J45" s="349">
        <f>IF(ISERROR(J43-Asset!K70),"",IF(J43-Asset!K70=0,"",J43-Asset!K70))</f>
        <v>17.974723249999997</v>
      </c>
      <c r="K45" s="349">
        <f>IF(ISERROR(K43-Asset!L70),"",IF(K43-Asset!L70=0,"",K43-Asset!L70))</f>
        <v>20.193128250000001</v>
      </c>
      <c r="L45" s="349">
        <f>IF(ISERROR(L43-Asset!M70),"",IF(L43-Asset!M70=0,"",L43-Asset!M70))</f>
        <v>22.742396999999997</v>
      </c>
      <c r="M45" s="349">
        <f>IF(ISERROR(M43-Asset!N70),"",IF(M43-Asset!N70=0,"",M43-Asset!N70))</f>
        <v>12.622396999999999</v>
      </c>
      <c r="N45" s="349">
        <f>IF(ISERROR(N43-Asset!O70),"",IF(N43-Asset!O70=0,"",N43-Asset!O70))</f>
        <v>12.622396999999999</v>
      </c>
      <c r="O45" s="349">
        <f>IF(ISERROR(O43-Asset!P70),"",IF(O43-Asset!P70=0,"",O43-Asset!P70))</f>
        <v>12.622396999999999</v>
      </c>
      <c r="P45" s="349">
        <f>IF(ISERROR(P43-Asset!Q70),"",IF(P43-Asset!Q70=0,"",P43-Asset!Q70))</f>
        <v>12.622396999999999</v>
      </c>
      <c r="Q45" s="349">
        <f>IF(ISERROR(Q43-Asset!R70),"",IF(Q43-Asset!R70=0,"",Q43-Asset!R70))</f>
        <v>12.622396999999999</v>
      </c>
      <c r="R45" s="349">
        <f>IF(ISERROR(R43-Asset!S70),"",IF(R43-Asset!S70=0,"",R43-Asset!S70))</f>
        <v>12.622396999999999</v>
      </c>
      <c r="S45" s="349">
        <f>IF(ISERROR(S43-Asset!T70),"",IF(S43-Asset!T70=0,"",S43-Asset!T70))</f>
        <v>12.622396999999999</v>
      </c>
      <c r="T45" s="349">
        <f>IF(ISERROR(T43-Asset!U70),"",IF(T43-Asset!U70=0,"",T43-Asset!U70))</f>
        <v>12.622396999999999</v>
      </c>
      <c r="U45" s="349">
        <f>IF(ISERROR(U43-Asset!V70),"",IF(U43-Asset!V70=0,"",U43-Asset!V70))</f>
        <v>12.622396999999999</v>
      </c>
      <c r="V45" s="615"/>
    </row>
    <row r="46" spans="1:22" s="355" customFormat="1" ht="11.1" customHeight="1" x14ac:dyDescent="0.2">
      <c r="A46" s="356"/>
      <c r="B46" s="358" t="str">
        <f>IF(INPUT!C45="","",CONCATENATE("(",INPUT!C45,")"))</f>
        <v/>
      </c>
      <c r="C46" s="358" t="str">
        <f>IF(INPUT!D45="","",CONCATENATE("(",INPUT!D45,")"))</f>
        <v/>
      </c>
      <c r="D46" s="358" t="str">
        <f>IF(INPUT!E45="","",CONCATENATE("(",INPUT!E45,")"))</f>
        <v/>
      </c>
      <c r="E46" s="358" t="str">
        <f>IF(INPUT!F45="","",CONCATENATE("(",INPUT!F45,")"))</f>
        <v/>
      </c>
      <c r="F46" s="358" t="str">
        <f>IF(INPUT!G45="","",CONCATENATE("(",INPUT!G45,")"))</f>
        <v/>
      </c>
      <c r="G46" s="358" t="str">
        <f>IF(INPUT!H45="","",CONCATENATE("(",INPUT!H45,")"))</f>
        <v/>
      </c>
      <c r="H46" s="358" t="str">
        <f>IF(INPUT!I45="","",CONCATENATE("(",INPUT!I45,")"))</f>
        <v/>
      </c>
      <c r="I46" s="358" t="str">
        <f>IF(INPUT!J45="","",CONCATENATE("(",INPUT!J45,")"))</f>
        <v/>
      </c>
      <c r="J46" s="358" t="str">
        <f>IF(INPUT!K45="","",CONCATENATE("(",INPUT!K45,")"))</f>
        <v/>
      </c>
      <c r="K46" s="358" t="str">
        <f>IF(INPUT!L45="","",CONCATENATE("(",INPUT!L45,")"))</f>
        <v/>
      </c>
      <c r="L46" s="358" t="str">
        <f>IF(INPUT!M45="","",CONCATENATE("(",INPUT!M45,")"))</f>
        <v/>
      </c>
      <c r="M46" s="358" t="str">
        <f>IF(INPUT!N45="","",CONCATENATE("(",INPUT!N45,")"))</f>
        <v/>
      </c>
      <c r="N46" s="358" t="str">
        <f>IF(INPUT!O45="","",CONCATENATE("(",INPUT!O45,")"))</f>
        <v/>
      </c>
      <c r="O46" s="358" t="str">
        <f>IF(INPUT!P45="","",CONCATENATE("(",INPUT!P45,")"))</f>
        <v/>
      </c>
      <c r="P46" s="358" t="str">
        <f>IF(INPUT!Q45="","",CONCATENATE("(",INPUT!Q45,")"))</f>
        <v/>
      </c>
      <c r="Q46" s="358" t="str">
        <f>IF(INPUT!R45="","",CONCATENATE("(",INPUT!R45,")"))</f>
        <v/>
      </c>
      <c r="R46" s="358" t="str">
        <f>IF(INPUT!S45="","",CONCATENATE("(",INPUT!S45,")"))</f>
        <v/>
      </c>
      <c r="S46" s="358" t="str">
        <f>IF(INPUT!T45="","",CONCATENATE("(",INPUT!T45,")"))</f>
        <v/>
      </c>
      <c r="T46" s="358" t="str">
        <f>IF(INPUT!U45="","",CONCATENATE("(",INPUT!U45,")"))</f>
        <v/>
      </c>
      <c r="U46" s="358" t="str">
        <f>IF(INPUT!V45="","",CONCATENATE("(",INPUT!V45,")"))</f>
        <v/>
      </c>
      <c r="V46" s="615"/>
    </row>
    <row r="47" spans="1:22" s="355" customFormat="1" ht="11.1" customHeight="1" x14ac:dyDescent="0.2">
      <c r="A47" s="354" t="s">
        <v>20</v>
      </c>
      <c r="B47" s="349">
        <f>IF(ISERROR(Liab!C80/'Ratio New'!B43),"",IF(Liab!C80/'Ratio New'!B43=0,"",Liab!C80/'Ratio New'!B43))</f>
        <v>2.5000000000000009</v>
      </c>
      <c r="C47" s="349">
        <f>IF(ISERROR(Liab!D80/'Ratio New'!C43),"",IF(Liab!D80/'Ratio New'!C43=0,"",Liab!D80/'Ratio New'!C43))</f>
        <v>1.5882352941176474</v>
      </c>
      <c r="D47" s="349">
        <f>IF(ISERROR(Liab!E80/'Ratio New'!D43),"",IF(Liab!E80/'Ratio New'!D43=0,"",Liab!E80/'Ratio New'!D43))</f>
        <v>10.02272727272727</v>
      </c>
      <c r="E47" s="349">
        <f>IF(ISERROR(Liab!F80/'Ratio New'!E43),"",IF(Liab!F80/'Ratio New'!E43=0,"",Liab!F80/'Ratio New'!E43))</f>
        <v>0.77074821991362197</v>
      </c>
      <c r="F47" s="349">
        <f>IF(ISERROR(Liab!G80/'Ratio New'!F43),"",IF(Liab!G80/'Ratio New'!F43=0,"",Liab!G80/'Ratio New'!F43))</f>
        <v>1.3763670312083223</v>
      </c>
      <c r="G47" s="349">
        <f>IF(ISERROR(Liab!H80/'Ratio New'!G43),"",IF(Liab!H80/'Ratio New'!G43=0,"",Liab!H80/'Ratio New'!G43))</f>
        <v>1.2012682811575188</v>
      </c>
      <c r="H47" s="349">
        <f>IF(ISERROR(Liab!I80/'Ratio New'!H43),"",IF(Liab!I80/'Ratio New'!H43=0,"",Liab!I80/'Ratio New'!H43))</f>
        <v>0.97133943500870412</v>
      </c>
      <c r="I47" s="349">
        <f>IF(ISERROR(Liab!J80/'Ratio New'!I43),"",IF(Liab!J80/'Ratio New'!I43=0,"",Liab!J80/'Ratio New'!I43))</f>
        <v>0.71900441239325075</v>
      </c>
      <c r="J47" s="349">
        <f>IF(ISERROR(Liab!K80/'Ratio New'!J43),"",IF(Liab!K80/'Ratio New'!J43=0,"",Liab!K80/'Ratio New'!J43))</f>
        <v>0.50891495645141649</v>
      </c>
      <c r="K47" s="349">
        <f>IF(ISERROR(Liab!L80/'Ratio New'!K43),"",IF(Liab!L80/'Ratio New'!K43=0,"",Liab!L80/'Ratio New'!K43))</f>
        <v>0.32638553662432224</v>
      </c>
      <c r="L47" s="349">
        <f>IF(ISERROR(Liab!M80/'Ratio New'!L43),"",IF(Liab!M80/'Ratio New'!L43=0,"",Liab!M80/'Ratio New'!L43))</f>
        <v>0.1535697292594092</v>
      </c>
      <c r="M47" s="349" t="str">
        <f>IF(ISERROR(Liab!N80/'Ratio New'!M43),"",IF(Liab!N80/'Ratio New'!M43=0,"",Liab!N80/'Ratio New'!M43))</f>
        <v/>
      </c>
      <c r="N47" s="349" t="str">
        <f>IF(ISERROR(Liab!O80/'Ratio New'!N43),"",IF(Liab!O80/'Ratio New'!N43=0,"",Liab!O80/'Ratio New'!N43))</f>
        <v/>
      </c>
      <c r="O47" s="349" t="str">
        <f>IF(ISERROR(Liab!P80/'Ratio New'!O43),"",IF(Liab!P80/'Ratio New'!O43=0,"",Liab!P80/'Ratio New'!O43))</f>
        <v/>
      </c>
      <c r="P47" s="349" t="str">
        <f>IF(ISERROR(Liab!Q80/'Ratio New'!P43),"",IF(Liab!Q80/'Ratio New'!P43=0,"",Liab!Q80/'Ratio New'!P43))</f>
        <v/>
      </c>
      <c r="Q47" s="349" t="str">
        <f>IF(ISERROR(Liab!R80/'Ratio New'!Q43),"",IF(Liab!R80/'Ratio New'!Q43=0,"",Liab!R80/'Ratio New'!Q43))</f>
        <v/>
      </c>
      <c r="R47" s="349" t="str">
        <f>IF(ISERROR(Liab!S80/'Ratio New'!R43),"",IF(Liab!S80/'Ratio New'!R43=0,"",Liab!S80/'Ratio New'!R43))</f>
        <v/>
      </c>
      <c r="S47" s="349" t="str">
        <f>IF(ISERROR(Liab!T80/'Ratio New'!S43),"",IF(Liab!T80/'Ratio New'!S43=0,"",Liab!T80/'Ratio New'!S43))</f>
        <v/>
      </c>
      <c r="T47" s="349" t="str">
        <f>IF(ISERROR(Liab!U80/'Ratio New'!T43),"",IF(Liab!U80/'Ratio New'!T43=0,"",Liab!U80/'Ratio New'!T43))</f>
        <v/>
      </c>
      <c r="U47" s="349" t="str">
        <f>IF(ISERROR(Liab!V80/'Ratio New'!U43),"",IF(Liab!V80/'Ratio New'!U43=0,"",Liab!V80/'Ratio New'!U43))</f>
        <v/>
      </c>
      <c r="V47" s="615"/>
    </row>
    <row r="48" spans="1:22" s="355" customFormat="1" ht="11.1" customHeight="1" x14ac:dyDescent="0.2">
      <c r="A48" s="356"/>
      <c r="B48" s="358" t="str">
        <f>IF(INPUT!C46="","",CONCATENATE("(",INPUT!C46,")"))</f>
        <v/>
      </c>
      <c r="C48" s="358" t="str">
        <f>IF(INPUT!D46="","",CONCATENATE("(",INPUT!D46,")"))</f>
        <v/>
      </c>
      <c r="D48" s="358" t="str">
        <f>IF(INPUT!E46="","",CONCATENATE("(",INPUT!E46,")"))</f>
        <v/>
      </c>
      <c r="E48" s="358" t="str">
        <f>IF(INPUT!F46="","",CONCATENATE("(",INPUT!F46,")"))</f>
        <v/>
      </c>
      <c r="F48" s="358" t="str">
        <f>IF(INPUT!G46="","",CONCATENATE("(",INPUT!G46,")"))</f>
        <v/>
      </c>
      <c r="G48" s="358" t="str">
        <f>IF(INPUT!H46="","",CONCATENATE("(",INPUT!H46,")"))</f>
        <v/>
      </c>
      <c r="H48" s="358" t="str">
        <f>IF(INPUT!I46="","",CONCATENATE("(",INPUT!I46,")"))</f>
        <v/>
      </c>
      <c r="I48" s="358" t="str">
        <f>IF(INPUT!J46="","",CONCATENATE("(",INPUT!J46,")"))</f>
        <v/>
      </c>
      <c r="J48" s="358" t="str">
        <f>IF(INPUT!K46="","",CONCATENATE("(",INPUT!K46,")"))</f>
        <v/>
      </c>
      <c r="K48" s="358" t="str">
        <f>IF(INPUT!L46="","",CONCATENATE("(",INPUT!L46,")"))</f>
        <v/>
      </c>
      <c r="L48" s="358" t="str">
        <f>IF(INPUT!M46="","",CONCATENATE("(",INPUT!M46,")"))</f>
        <v/>
      </c>
      <c r="M48" s="358" t="str">
        <f>IF(INPUT!N46="","",CONCATENATE("(",INPUT!N46,")"))</f>
        <v/>
      </c>
      <c r="N48" s="358" t="str">
        <f>IF(INPUT!O46="","",CONCATENATE("(",INPUT!O46,")"))</f>
        <v/>
      </c>
      <c r="O48" s="358" t="str">
        <f>IF(INPUT!P46="","",CONCATENATE("(",INPUT!P46,")"))</f>
        <v/>
      </c>
      <c r="P48" s="358" t="str">
        <f>IF(INPUT!Q46="","",CONCATENATE("(",INPUT!Q46,")"))</f>
        <v/>
      </c>
      <c r="Q48" s="358" t="str">
        <f>IF(INPUT!R46="","",CONCATENATE("(",INPUT!R46,")"))</f>
        <v/>
      </c>
      <c r="R48" s="358" t="str">
        <f>IF(INPUT!S46="","",CONCATENATE("(",INPUT!S46,")"))</f>
        <v/>
      </c>
      <c r="S48" s="358" t="str">
        <f>IF(INPUT!T46="","",CONCATENATE("(",INPUT!T46,")"))</f>
        <v/>
      </c>
      <c r="T48" s="358" t="str">
        <f>IF(INPUT!U46="","",CONCATENATE("(",INPUT!U46,")"))</f>
        <v/>
      </c>
      <c r="U48" s="358" t="str">
        <f>IF(INPUT!V46="","",CONCATENATE("(",INPUT!V46,")"))</f>
        <v/>
      </c>
      <c r="V48" s="615"/>
    </row>
    <row r="49" spans="1:22" s="355" customFormat="1" ht="11.1" customHeight="1" x14ac:dyDescent="0.2">
      <c r="A49" s="354" t="s">
        <v>51</v>
      </c>
      <c r="B49" s="349">
        <f>IF(ISERROR((Liab!C80+Liab!C99)/'Ratio New'!B45),"",IF((Liab!C80+Liab!C99)/'Ratio New'!B45=0,"",(Liab!C80+Liab!C99)/'Ratio New'!B45))</f>
        <v>2.5000000000000009</v>
      </c>
      <c r="C49" s="349">
        <f>IF(ISERROR((Liab!D80+Liab!D99)/'Ratio New'!C45),"",IF((Liab!D80+Liab!D99)/'Ratio New'!C45=0,"",(Liab!D80+Liab!D99)/'Ratio New'!C45))</f>
        <v>1.5882352941176474</v>
      </c>
      <c r="D49" s="349">
        <f>IF(ISERROR((Liab!E80+Liab!E99)/'Ratio New'!D45),"",IF((Liab!E80+Liab!E99)/'Ratio New'!D45=0,"",(Liab!E80+Liab!E99)/'Ratio New'!D45))</f>
        <v>10.02272727272727</v>
      </c>
      <c r="E49" s="349">
        <f>IF(ISERROR((Liab!F80+Liab!F99)/'Ratio New'!E45),"",IF((Liab!F80+Liab!F99)/'Ratio New'!E45=0,"",(Liab!F80+Liab!F99)/'Ratio New'!E45))</f>
        <v>0.77074821991362197</v>
      </c>
      <c r="F49" s="349">
        <f>IF(ISERROR((Liab!G80+Liab!G99)/'Ratio New'!F45),"",IF((Liab!G80+Liab!G99)/'Ratio New'!F45=0,"",(Liab!G80+Liab!G99)/'Ratio New'!F45))</f>
        <v>1.3763670312083223</v>
      </c>
      <c r="G49" s="349">
        <f>IF(ISERROR((Liab!H80+Liab!H99)/'Ratio New'!G45),"",IF((Liab!H80+Liab!H99)/'Ratio New'!G45=0,"",(Liab!H80+Liab!H99)/'Ratio New'!G45))</f>
        <v>1.2012682811575188</v>
      </c>
      <c r="H49" s="349">
        <f>IF(ISERROR((Liab!I80+Liab!I99)/'Ratio New'!H45),"",IF((Liab!I80+Liab!I99)/'Ratio New'!H45=0,"",(Liab!I80+Liab!I99)/'Ratio New'!H45))</f>
        <v>0.97133943500870412</v>
      </c>
      <c r="I49" s="349">
        <f>IF(ISERROR((Liab!J80+Liab!J99)/'Ratio New'!I45),"",IF((Liab!J80+Liab!J99)/'Ratio New'!I45=0,"",(Liab!J80+Liab!J99)/'Ratio New'!I45))</f>
        <v>0.71900441239325075</v>
      </c>
      <c r="J49" s="349">
        <f>IF(ISERROR((Liab!K80+Liab!K99)/'Ratio New'!J45),"",IF((Liab!K80+Liab!K99)/'Ratio New'!J45=0,"",(Liab!K80+Liab!K99)/'Ratio New'!J45))</f>
        <v>0.50891495645141649</v>
      </c>
      <c r="K49" s="349">
        <f>IF(ISERROR((Liab!L80+Liab!L99)/'Ratio New'!K45),"",IF((Liab!L80+Liab!L99)/'Ratio New'!K45=0,"",(Liab!L80+Liab!L99)/'Ratio New'!K45))</f>
        <v>0.32638553662432224</v>
      </c>
      <c r="L49" s="349">
        <f>IF(ISERROR((Liab!M80+Liab!M99)/'Ratio New'!L45),"",IF((Liab!M80+Liab!M99)/'Ratio New'!L45=0,"",(Liab!M80+Liab!M99)/'Ratio New'!L45))</f>
        <v>0.1535697292594092</v>
      </c>
      <c r="M49" s="349" t="str">
        <f>IF(ISERROR((Liab!N80+Liab!N99)/'Ratio New'!M45),"",IF((Liab!N80+Liab!N99)/'Ratio New'!M45=0,"",(Liab!N80+Liab!N99)/'Ratio New'!M45))</f>
        <v/>
      </c>
      <c r="N49" s="349" t="str">
        <f>IF(ISERROR((Liab!O80+Liab!O99)/'Ratio New'!N45),"",IF((Liab!O80+Liab!O99)/'Ratio New'!N45=0,"",(Liab!O80+Liab!O99)/'Ratio New'!N45))</f>
        <v/>
      </c>
      <c r="O49" s="349" t="str">
        <f>IF(ISERROR((Liab!P80+Liab!P99)/'Ratio New'!O45),"",IF((Liab!P80+Liab!P99)/'Ratio New'!O45=0,"",(Liab!P80+Liab!P99)/'Ratio New'!O45))</f>
        <v/>
      </c>
      <c r="P49" s="349" t="str">
        <f>IF(ISERROR((Liab!Q80+Liab!Q99)/'Ratio New'!P45),"",IF((Liab!Q80+Liab!Q99)/'Ratio New'!P45=0,"",(Liab!Q80+Liab!Q99)/'Ratio New'!P45))</f>
        <v/>
      </c>
      <c r="Q49" s="349" t="str">
        <f>IF(ISERROR((Liab!R80+Liab!R99)/'Ratio New'!Q45),"",IF((Liab!R80+Liab!R99)/'Ratio New'!Q45=0,"",(Liab!R80+Liab!R99)/'Ratio New'!Q45))</f>
        <v/>
      </c>
      <c r="R49" s="349" t="str">
        <f>IF(ISERROR((Liab!S80+Liab!S99)/'Ratio New'!R45),"",IF((Liab!S80+Liab!S99)/'Ratio New'!R45=0,"",(Liab!S80+Liab!S99)/'Ratio New'!R45))</f>
        <v/>
      </c>
      <c r="S49" s="349" t="str">
        <f>IF(ISERROR((Liab!T80+Liab!T99)/'Ratio New'!S45),"",IF((Liab!T80+Liab!T99)/'Ratio New'!S45=0,"",(Liab!T80+Liab!T99)/'Ratio New'!S45))</f>
        <v/>
      </c>
      <c r="T49" s="349" t="str">
        <f>IF(ISERROR((Liab!U80+Liab!U99)/'Ratio New'!T45),"",IF((Liab!U80+Liab!U99)/'Ratio New'!T45=0,"",(Liab!U80+Liab!U99)/'Ratio New'!T45))</f>
        <v/>
      </c>
      <c r="U49" s="349" t="str">
        <f>IF(ISERROR((Liab!V80+Liab!V99)/'Ratio New'!U45),"",IF((Liab!V80+Liab!V99)/'Ratio New'!U45=0,"",(Liab!V80+Liab!V99)/'Ratio New'!U45))</f>
        <v/>
      </c>
      <c r="V49" s="615"/>
    </row>
    <row r="50" spans="1:22" s="355" customFormat="1" ht="11.1" customHeight="1" x14ac:dyDescent="0.2">
      <c r="A50" s="356"/>
      <c r="B50" s="358" t="str">
        <f>IF(INPUT!C47="","",CONCATENATE("(",INPUT!C47,")"))</f>
        <v/>
      </c>
      <c r="C50" s="358" t="str">
        <f>IF(INPUT!D47="","",CONCATENATE("(",INPUT!D47,")"))</f>
        <v/>
      </c>
      <c r="D50" s="358" t="str">
        <f>IF(INPUT!E47="","",CONCATENATE("(",INPUT!E47,")"))</f>
        <v/>
      </c>
      <c r="E50" s="358" t="str">
        <f>IF(INPUT!F47="","",CONCATENATE("(",INPUT!F47,")"))</f>
        <v/>
      </c>
      <c r="F50" s="358" t="str">
        <f>IF(INPUT!G47="","",CONCATENATE("(",INPUT!G47,")"))</f>
        <v/>
      </c>
      <c r="G50" s="358" t="str">
        <f>IF(INPUT!H47="","",CONCATENATE("(",INPUT!H47,")"))</f>
        <v/>
      </c>
      <c r="H50" s="358" t="str">
        <f>IF(INPUT!I47="","",CONCATENATE("(",INPUT!I47,")"))</f>
        <v/>
      </c>
      <c r="I50" s="358" t="str">
        <f>IF(INPUT!J47="","",CONCATENATE("(",INPUT!J47,")"))</f>
        <v/>
      </c>
      <c r="J50" s="358" t="str">
        <f>IF(INPUT!K47="","",CONCATENATE("(",INPUT!K47,")"))</f>
        <v/>
      </c>
      <c r="K50" s="358" t="str">
        <f>IF(INPUT!L47="","",CONCATENATE("(",INPUT!L47,")"))</f>
        <v/>
      </c>
      <c r="L50" s="358" t="str">
        <f>IF(INPUT!M47="","",CONCATENATE("(",INPUT!M47,")"))</f>
        <v/>
      </c>
      <c r="M50" s="358" t="str">
        <f>IF(INPUT!N47="","",CONCATENATE("(",INPUT!N47,")"))</f>
        <v/>
      </c>
      <c r="N50" s="358" t="str">
        <f>IF(INPUT!O47="","",CONCATENATE("(",INPUT!O47,")"))</f>
        <v/>
      </c>
      <c r="O50" s="358" t="str">
        <f>IF(INPUT!P47="","",CONCATENATE("(",INPUT!P47,")"))</f>
        <v/>
      </c>
      <c r="P50" s="358" t="str">
        <f>IF(INPUT!Q47="","",CONCATENATE("(",INPUT!Q47,")"))</f>
        <v/>
      </c>
      <c r="Q50" s="358" t="str">
        <f>IF(INPUT!R47="","",CONCATENATE("(",INPUT!R47,")"))</f>
        <v/>
      </c>
      <c r="R50" s="358" t="str">
        <f>IF(INPUT!S47="","",CONCATENATE("(",INPUT!S47,")"))</f>
        <v/>
      </c>
      <c r="S50" s="358" t="str">
        <f>IF(INPUT!T47="","",CONCATENATE("(",INPUT!T47,")"))</f>
        <v/>
      </c>
      <c r="T50" s="358" t="str">
        <f>IF(INPUT!U47="","",CONCATENATE("(",INPUT!U47,")"))</f>
        <v/>
      </c>
      <c r="U50" s="358" t="str">
        <f>IF(INPUT!V47="","",CONCATENATE("(",INPUT!V47,")"))</f>
        <v/>
      </c>
      <c r="V50" s="615"/>
    </row>
    <row r="51" spans="1:22" s="355" customFormat="1" ht="11.1" customHeight="1" x14ac:dyDescent="0.2">
      <c r="A51" s="354" t="s">
        <v>323</v>
      </c>
      <c r="B51" s="349">
        <f>IF(ISERROR(Asset!C51/Liab!C47),"",IF(Asset!C51/Liab!C47=0,"",Asset!C51/Liab!C47))</f>
        <v>1.3125</v>
      </c>
      <c r="C51" s="349">
        <f>IF(ISERROR(Asset!D51/Liab!D47),"",IF(Asset!D51/Liab!D47=0,"",Asset!D51/Liab!D47))</f>
        <v>2.4666666666666672</v>
      </c>
      <c r="D51" s="349">
        <f>IF(ISERROR(Asset!E51/Liab!E47),"",IF(Asset!E51/Liab!E47=0,"",Asset!E51/Liab!E47))</f>
        <v>0.55199999999999982</v>
      </c>
      <c r="E51" s="349">
        <f>IF(ISERROR(Asset!F51/Liab!F47),"",IF(Asset!F51/Liab!F47=0,"",Asset!F51/Liab!F47))</f>
        <v>0.63576945929887108</v>
      </c>
      <c r="F51" s="349">
        <f>IF(ISERROR(Asset!G51/Liab!G47),"",IF(Asset!G51/Liab!G47=0,"",Asset!G51/Liab!G47))</f>
        <v>1.3706896551724135</v>
      </c>
      <c r="G51" s="349">
        <f>IF(ISERROR(Asset!H51/Liab!H47),"",IF(Asset!H51/Liab!H47=0,"",Asset!H51/Liab!H47))</f>
        <v>1.7065156370193002</v>
      </c>
      <c r="H51" s="349">
        <f>IF(ISERROR(Asset!I51/Liab!I47),"",IF(Asset!I51/Liab!I47=0,"",Asset!I51/Liab!I47))</f>
        <v>1.9671691695156748</v>
      </c>
      <c r="I51" s="349">
        <f>IF(ISERROR(Asset!J51/Liab!J47),"",IF(Asset!J51/Liab!J47=0,"",Asset!J51/Liab!J47))</f>
        <v>2.2362273179947043</v>
      </c>
      <c r="J51" s="349">
        <f>IF(ISERROR(Asset!K51/Liab!K47),"",IF(Asset!K51/Liab!K47=0,"",Asset!K51/Liab!K47))</f>
        <v>2.4258557457859005</v>
      </c>
      <c r="K51" s="349">
        <f>IF(ISERROR(Asset!L51/Liab!L47),"",IF(Asset!L51/Liab!L47=0,"",Asset!L51/Liab!L47))</f>
        <v>2.4281107446881953</v>
      </c>
      <c r="L51" s="349">
        <f>IF(ISERROR(Asset!M51/Liab!M47),"",IF(Asset!M51/Liab!M47=0,"",Asset!M51/Liab!M47))</f>
        <v>4.7814455617055636</v>
      </c>
      <c r="M51" s="349" t="str">
        <f>IF(ISERROR(Asset!N51/Liab!N47),"",IF(Asset!N51/Liab!N47=0,"",Asset!N51/Liab!N47))</f>
        <v/>
      </c>
      <c r="N51" s="349" t="str">
        <f>IF(ISERROR(Asset!O51/Liab!O47),"",IF(Asset!O51/Liab!O47=0,"",Asset!O51/Liab!O47))</f>
        <v/>
      </c>
      <c r="O51" s="349" t="str">
        <f>IF(ISERROR(Asset!P51/Liab!P47),"",IF(Asset!P51/Liab!P47=0,"",Asset!P51/Liab!P47))</f>
        <v/>
      </c>
      <c r="P51" s="349" t="str">
        <f>IF(ISERROR(Asset!Q51/Liab!Q47),"",IF(Asset!Q51/Liab!Q47=0,"",Asset!Q51/Liab!Q47))</f>
        <v/>
      </c>
      <c r="Q51" s="349" t="str">
        <f>IF(ISERROR(Asset!R51/Liab!R47),"",IF(Asset!R51/Liab!R47=0,"",Asset!R51/Liab!R47))</f>
        <v/>
      </c>
      <c r="R51" s="349" t="str">
        <f>IF(ISERROR(Asset!S51/Liab!S47),"",IF(Asset!S51/Liab!S47=0,"",Asset!S51/Liab!S47))</f>
        <v/>
      </c>
      <c r="S51" s="349" t="str">
        <f>IF(ISERROR(Asset!T51/Liab!T47),"",IF(Asset!T51/Liab!T47=0,"",Asset!T51/Liab!T47))</f>
        <v/>
      </c>
      <c r="T51" s="349" t="str">
        <f>IF(ISERROR(Asset!U51/Liab!U47),"",IF(Asset!U51/Liab!U47=0,"",Asset!U51/Liab!U47))</f>
        <v/>
      </c>
      <c r="U51" s="349" t="str">
        <f>IF(ISERROR(Asset!V51/Liab!V47),"",IF(Asset!V51/Liab!V47=0,"",Asset!V51/Liab!V47))</f>
        <v/>
      </c>
      <c r="V51" s="615"/>
    </row>
    <row r="52" spans="1:22" s="355" customFormat="1" ht="11.1" customHeight="1" x14ac:dyDescent="0.2">
      <c r="A52" s="356"/>
      <c r="B52" s="358" t="str">
        <f>IF(INPUT!C48="","",CONCATENATE("(",INPUT!C48,")"))</f>
        <v/>
      </c>
      <c r="C52" s="358" t="str">
        <f>IF(INPUT!D48="","",CONCATENATE("(",INPUT!D48,")"))</f>
        <v/>
      </c>
      <c r="D52" s="358" t="str">
        <f>IF(INPUT!E48="","",CONCATENATE("(",INPUT!E48,")"))</f>
        <v/>
      </c>
      <c r="E52" s="358" t="str">
        <f>IF(INPUT!F48="","",CONCATENATE("(",INPUT!F48,")"))</f>
        <v/>
      </c>
      <c r="F52" s="358" t="str">
        <f>IF(INPUT!G48="","",CONCATENATE("(",INPUT!G48,")"))</f>
        <v/>
      </c>
      <c r="G52" s="358" t="str">
        <f>IF(INPUT!H48="","",CONCATENATE("(",INPUT!H48,")"))</f>
        <v/>
      </c>
      <c r="H52" s="358" t="str">
        <f>IF(INPUT!I48="","",CONCATENATE("(",INPUT!I48,")"))</f>
        <v/>
      </c>
      <c r="I52" s="358" t="str">
        <f>IF(INPUT!J48="","",CONCATENATE("(",INPUT!J48,")"))</f>
        <v/>
      </c>
      <c r="J52" s="358" t="str">
        <f>IF(INPUT!K48="","",CONCATENATE("(",INPUT!K48,")"))</f>
        <v/>
      </c>
      <c r="K52" s="358" t="str">
        <f>IF(INPUT!L48="","",CONCATENATE("(",INPUT!L48,")"))</f>
        <v/>
      </c>
      <c r="L52" s="358" t="str">
        <f>IF(INPUT!M48="","",CONCATENATE("(",INPUT!M48,")"))</f>
        <v/>
      </c>
      <c r="M52" s="358" t="str">
        <f>IF(INPUT!N48="","",CONCATENATE("(",INPUT!N48,")"))</f>
        <v/>
      </c>
      <c r="N52" s="358" t="str">
        <f>IF(INPUT!O48="","",CONCATENATE("(",INPUT!O48,")"))</f>
        <v/>
      </c>
      <c r="O52" s="358" t="str">
        <f>IF(INPUT!P48="","",CONCATENATE("(",INPUT!P48,")"))</f>
        <v/>
      </c>
      <c r="P52" s="358" t="str">
        <f>IF(INPUT!Q48="","",CONCATENATE("(",INPUT!Q48,")"))</f>
        <v/>
      </c>
      <c r="Q52" s="358" t="str">
        <f>IF(INPUT!R48="","",CONCATENATE("(",INPUT!R48,")"))</f>
        <v/>
      </c>
      <c r="R52" s="358" t="str">
        <f>IF(INPUT!S48="","",CONCATENATE("(",INPUT!S48,")"))</f>
        <v/>
      </c>
      <c r="S52" s="358" t="str">
        <f>IF(INPUT!T48="","",CONCATENATE("(",INPUT!T48,")"))</f>
        <v/>
      </c>
      <c r="T52" s="358" t="str">
        <f>IF(INPUT!U48="","",CONCATENATE("(",INPUT!U48,")"))</f>
        <v/>
      </c>
      <c r="U52" s="358" t="str">
        <f>IF(INPUT!V48="","",CONCATENATE("(",INPUT!V48,")"))</f>
        <v/>
      </c>
      <c r="V52" s="615"/>
    </row>
    <row r="53" spans="1:22" s="355" customFormat="1" ht="11.1" customHeight="1" x14ac:dyDescent="0.2">
      <c r="A53" s="354" t="s">
        <v>22</v>
      </c>
      <c r="B53" s="349">
        <f>B163</f>
        <v>5.0000000000000017E-2</v>
      </c>
      <c r="C53" s="349">
        <f t="shared" ref="C53:U53" si="3">C163</f>
        <v>0.22000000000000006</v>
      </c>
      <c r="D53" s="349">
        <f t="shared" si="3"/>
        <v>-0.56000000000000028</v>
      </c>
      <c r="E53" s="349">
        <f t="shared" si="3"/>
        <v>-0.61299999999999999</v>
      </c>
      <c r="F53" s="349">
        <f t="shared" si="3"/>
        <v>1.7199999999999993</v>
      </c>
      <c r="G53" s="349">
        <f t="shared" si="3"/>
        <v>3.9516956249999993</v>
      </c>
      <c r="H53" s="349">
        <f t="shared" si="3"/>
        <v>5.94563475</v>
      </c>
      <c r="I53" s="349">
        <f t="shared" si="3"/>
        <v>7.5048149375000008</v>
      </c>
      <c r="J53" s="349">
        <f t="shared" si="3"/>
        <v>8.7655986249999991</v>
      </c>
      <c r="K53" s="349">
        <f t="shared" si="3"/>
        <v>9.4123137500000009</v>
      </c>
      <c r="L53" s="349">
        <f t="shared" si="3"/>
        <v>13.206864062500003</v>
      </c>
      <c r="M53" s="349" t="str">
        <f t="shared" si="3"/>
        <v/>
      </c>
      <c r="N53" s="349" t="str">
        <f t="shared" si="3"/>
        <v/>
      </c>
      <c r="O53" s="349" t="str">
        <f t="shared" si="3"/>
        <v/>
      </c>
      <c r="P53" s="349" t="str">
        <f t="shared" si="3"/>
        <v/>
      </c>
      <c r="Q53" s="349" t="str">
        <f t="shared" si="3"/>
        <v/>
      </c>
      <c r="R53" s="349" t="str">
        <f t="shared" si="3"/>
        <v/>
      </c>
      <c r="S53" s="349" t="str">
        <f t="shared" si="3"/>
        <v/>
      </c>
      <c r="T53" s="349" t="str">
        <f t="shared" si="3"/>
        <v/>
      </c>
      <c r="U53" s="349" t="str">
        <f t="shared" si="3"/>
        <v/>
      </c>
      <c r="V53" s="615"/>
    </row>
    <row r="54" spans="1:22" s="355" customFormat="1" ht="11.1" customHeight="1" x14ac:dyDescent="0.2">
      <c r="A54" s="356"/>
      <c r="B54" s="358" t="str">
        <f>IF(INPUT!C49="","",CONCATENATE("(",INPUT!C49,")"))</f>
        <v/>
      </c>
      <c r="C54" s="358" t="str">
        <f>IF(INPUT!D49="","",CONCATENATE("(",INPUT!D49,")"))</f>
        <v/>
      </c>
      <c r="D54" s="358" t="str">
        <f>IF(INPUT!E49="","",CONCATENATE("(",INPUT!E49,")"))</f>
        <v/>
      </c>
      <c r="E54" s="358" t="str">
        <f>IF(INPUT!F49="","",CONCATENATE("(",INPUT!F49,")"))</f>
        <v/>
      </c>
      <c r="F54" s="358" t="str">
        <f>IF(INPUT!G49="","",CONCATENATE("(",INPUT!G49,")"))</f>
        <v/>
      </c>
      <c r="G54" s="358" t="str">
        <f>IF(INPUT!H49="","",CONCATENATE("(",INPUT!H49,")"))</f>
        <v/>
      </c>
      <c r="H54" s="358" t="str">
        <f>IF(INPUT!I49="","",CONCATENATE("(",INPUT!I49,")"))</f>
        <v/>
      </c>
      <c r="I54" s="358" t="str">
        <f>IF(INPUT!J49="","",CONCATENATE("(",INPUT!J49,")"))</f>
        <v/>
      </c>
      <c r="J54" s="358" t="str">
        <f>IF(INPUT!K49="","",CONCATENATE("(",INPUT!K49,")"))</f>
        <v/>
      </c>
      <c r="K54" s="358" t="str">
        <f>IF(INPUT!L49="","",CONCATENATE("(",INPUT!L49,")"))</f>
        <v/>
      </c>
      <c r="L54" s="358" t="str">
        <f>IF(INPUT!M49="","",CONCATENATE("(",INPUT!M49,")"))</f>
        <v/>
      </c>
      <c r="M54" s="358" t="str">
        <f>IF(INPUT!N49="","",CONCATENATE("(",INPUT!N49,")"))</f>
        <v/>
      </c>
      <c r="N54" s="358" t="str">
        <f>IF(INPUT!O49="","",CONCATENATE("(",INPUT!O49,")"))</f>
        <v/>
      </c>
      <c r="O54" s="358" t="str">
        <f>IF(INPUT!P49="","",CONCATENATE("(",INPUT!P49,")"))</f>
        <v/>
      </c>
      <c r="P54" s="358" t="str">
        <f>IF(INPUT!Q49="","",CONCATENATE("(",INPUT!Q49,")"))</f>
        <v/>
      </c>
      <c r="Q54" s="358" t="str">
        <f>IF(INPUT!R49="","",CONCATENATE("(",INPUT!R49,")"))</f>
        <v/>
      </c>
      <c r="R54" s="358" t="str">
        <f>IF(INPUT!S49="","",CONCATENATE("(",INPUT!S49,")"))</f>
        <v/>
      </c>
      <c r="S54" s="358" t="str">
        <f>IF(INPUT!T49="","",CONCATENATE("(",INPUT!T49,")"))</f>
        <v/>
      </c>
      <c r="T54" s="358" t="str">
        <f>IF(INPUT!U49="","",CONCATENATE("(",INPUT!U49,")"))</f>
        <v/>
      </c>
      <c r="U54" s="358" t="str">
        <f>IF(INPUT!V49="","",CONCATENATE("(",INPUT!V49,")"))</f>
        <v/>
      </c>
      <c r="V54" s="615"/>
    </row>
    <row r="55" spans="1:22" s="355" customFormat="1" ht="11.1" customHeight="1" x14ac:dyDescent="0.2">
      <c r="A55" s="354" t="s">
        <v>300</v>
      </c>
      <c r="B55" s="349" t="str">
        <f>DSCR!B17</f>
        <v/>
      </c>
      <c r="C55" s="349" t="str">
        <f>DSCR!C17</f>
        <v/>
      </c>
      <c r="D55" s="349" t="str">
        <f>DSCR!D17</f>
        <v/>
      </c>
      <c r="E55" s="349" t="str">
        <f>DSCR!E17</f>
        <v/>
      </c>
      <c r="F55" s="349" t="str">
        <f>DSCR!F17</f>
        <v/>
      </c>
      <c r="G55" s="349">
        <f>DSCR!G17</f>
        <v>2.1834985961545303</v>
      </c>
      <c r="H55" s="349">
        <f>DSCR!H17</f>
        <v>2.0539946485733238</v>
      </c>
      <c r="I55" s="349">
        <f>DSCR!I17</f>
        <v>1.7753488203200887</v>
      </c>
      <c r="J55" s="349">
        <f>DSCR!J17</f>
        <v>1.5596208871814068</v>
      </c>
      <c r="K55" s="349">
        <f>DSCR!K17</f>
        <v>1.4553148421686088</v>
      </c>
      <c r="L55" s="349">
        <f>DSCR!L17</f>
        <v>1.2522280144606224</v>
      </c>
      <c r="M55" s="349" t="str">
        <f>DSCR!M17</f>
        <v/>
      </c>
      <c r="N55" s="349" t="str">
        <f>DSCR!N17</f>
        <v/>
      </c>
      <c r="O55" s="349" t="str">
        <f>DSCR!O17</f>
        <v/>
      </c>
      <c r="P55" s="349" t="str">
        <f>DSCR!P17</f>
        <v/>
      </c>
      <c r="Q55" s="349" t="str">
        <f>DSCR!Q17</f>
        <v/>
      </c>
      <c r="R55" s="349" t="str">
        <f>DSCR!R17</f>
        <v/>
      </c>
      <c r="S55" s="349" t="str">
        <f>DSCR!S17</f>
        <v/>
      </c>
      <c r="T55" s="349" t="str">
        <f>DSCR!T17</f>
        <v/>
      </c>
      <c r="U55" s="349" t="str">
        <f>DSCR!U17</f>
        <v/>
      </c>
      <c r="V55" s="615"/>
    </row>
    <row r="56" spans="1:22" s="355" customFormat="1" ht="11.1" customHeight="1" x14ac:dyDescent="0.2">
      <c r="A56" s="356"/>
      <c r="B56" s="357" t="str">
        <f>IF(INPUT!C50="","",CONCATENATE("(",INPUT!C50,")"))</f>
        <v/>
      </c>
      <c r="C56" s="357" t="str">
        <f>IF(INPUT!D50="","",CONCATENATE("(",INPUT!D50,")"))</f>
        <v/>
      </c>
      <c r="D56" s="357" t="str">
        <f>IF(INPUT!E50="","",CONCATENATE("(",INPUT!E50,")"))</f>
        <v/>
      </c>
      <c r="E56" s="357" t="str">
        <f>IF(INPUT!F50="","",CONCATENATE("(",INPUT!F50,")"))</f>
        <v/>
      </c>
      <c r="F56" s="357" t="str">
        <f>IF(INPUT!G50="","",CONCATENATE("(",INPUT!G50,")"))</f>
        <v/>
      </c>
      <c r="G56" s="357" t="str">
        <f>IF(INPUT!H50="","",CONCATENATE("(",INPUT!H50,")"))</f>
        <v/>
      </c>
      <c r="H56" s="357" t="str">
        <f>IF(INPUT!I50="","",CONCATENATE("(",INPUT!I50,")"))</f>
        <v/>
      </c>
      <c r="I56" s="357" t="str">
        <f>IF(INPUT!J50="","",CONCATENATE("(",INPUT!J50,")"))</f>
        <v/>
      </c>
      <c r="J56" s="357" t="str">
        <f>IF(INPUT!K50="","",CONCATENATE("(",INPUT!K50,")"))</f>
        <v/>
      </c>
      <c r="K56" s="357" t="str">
        <f>IF(INPUT!L50="","",CONCATENATE("(",INPUT!L50,")"))</f>
        <v/>
      </c>
      <c r="L56" s="357" t="str">
        <f>IF(INPUT!M50="","",CONCATENATE("(",INPUT!M50,")"))</f>
        <v/>
      </c>
      <c r="M56" s="357" t="str">
        <f>IF(INPUT!N50="","",CONCATENATE("(",INPUT!N50,")"))</f>
        <v/>
      </c>
      <c r="N56" s="357" t="str">
        <f>IF(INPUT!O50="","",CONCATENATE("(",INPUT!O50,")"))</f>
        <v/>
      </c>
      <c r="O56" s="357" t="str">
        <f>IF(INPUT!P50="","",CONCATENATE("(",INPUT!P50,")"))</f>
        <v/>
      </c>
      <c r="P56" s="357" t="str">
        <f>IF(INPUT!Q50="","",CONCATENATE("(",INPUT!Q50,")"))</f>
        <v/>
      </c>
      <c r="Q56" s="357" t="str">
        <f>IF(INPUT!R50="","",CONCATENATE("(",INPUT!R50,")"))</f>
        <v/>
      </c>
      <c r="R56" s="357" t="str">
        <f>IF(INPUT!S50="","",CONCATENATE("(",INPUT!S50,")"))</f>
        <v/>
      </c>
      <c r="S56" s="357" t="str">
        <f>IF(INPUT!T50="","",CONCATENATE("(",INPUT!T50,")"))</f>
        <v/>
      </c>
      <c r="T56" s="357" t="str">
        <f>IF(INPUT!U50="","",CONCATENATE("(",INPUT!U50,")"))</f>
        <v/>
      </c>
      <c r="U56" s="357" t="str">
        <f>IF(INPUT!V50="","",CONCATENATE("(",INPUT!V50,")"))</f>
        <v/>
      </c>
      <c r="V56" s="615"/>
    </row>
    <row r="57" spans="1:22" s="365" customFormat="1" ht="11.1" customHeight="1" x14ac:dyDescent="0.2">
      <c r="A57" s="363" t="s">
        <v>931</v>
      </c>
      <c r="B57" s="364" t="str">
        <f>IF(ISERROR('Oper.St.'!C95/((Liab!C84+Liab!C91+Liab!B84+Liab!B91+Liab!B97+Liab!C97)/2)),"",IF('Oper.St.'!C95/((Liab!C84+Liab!C91+Liab!B84+Liab!B91+Liab!B97+Liab!C97)/2)=0,"",'Oper.St.'!C95/((Liab!C84+Liab!C91+Liab!B84+Liab!B91+Liab!B97+Liab!C97)/2)))</f>
        <v/>
      </c>
      <c r="C57" s="364">
        <f>IF(ISERROR('Oper.St.'!D95/((Liab!D84+Liab!D91+Liab!C84+Liab!C91+Liab!C97+Liab!D97)/2)),"",IF('Oper.St.'!D95/((Liab!D84+Liab!D91+Liab!C84+Liab!C91+Liab!C97+Liab!D97)/2)=0,"",'Oper.St.'!D95/((Liab!D84+Liab!D91+Liab!C84+Liab!C91+Liab!C97+Liab!D97)/2)))</f>
        <v>9</v>
      </c>
      <c r="D57" s="364">
        <f>IF(ISERROR('Oper.St.'!E95/((Liab!E84+Liab!E91+Liab!D84+Liab!D91+Liab!D97+Liab!E97)/2)),"",IF('Oper.St.'!E95/((Liab!E84+Liab!E91+Liab!D84+Liab!D91+Liab!D97+Liab!E97)/2)=0,"",'Oper.St.'!E95/((Liab!E84+Liab!E91+Liab!D84+Liab!D91+Liab!D97+Liab!E97)/2)))</f>
        <v>27.000000000000018</v>
      </c>
      <c r="E57" s="364">
        <f>IF(ISERROR('Oper.St.'!F95/((Liab!F84+Liab!F91+Liab!E84+Liab!E91+Liab!E97+Liab!F97)/2)),"",IF('Oper.St.'!F95/((Liab!F84+Liab!F91+Liab!E84+Liab!E91+Liab!E97+Liab!F97)/2)=0,"",'Oper.St.'!F95/((Liab!F84+Liab!F91+Liab!E84+Liab!E91+Liab!E97+Liab!F97)/2)))</f>
        <v>5.4182272159800225E-2</v>
      </c>
      <c r="F57" s="364">
        <f>IF(ISERROR('Oper.St.'!G95/((Liab!G84+Liab!G91+Liab!F84+Liab!F91+Liab!F97+Liab!G97)/2)),"",IF('Oper.St.'!G95/((Liab!G84+Liab!G91+Liab!F84+Liab!F91+Liab!F97+Liab!G97)/2)=0,"",'Oper.St.'!G95/((Liab!G84+Liab!G91+Liab!F84+Liab!F91+Liab!F97+Liab!G97)/2)))</f>
        <v>6.1810154525386352E-2</v>
      </c>
      <c r="G57" s="364">
        <f>IF(ISERROR('Oper.St.'!H95/((Liab!H84+Liab!H91+Liab!G84+Liab!G91+Liab!G97+Liab!H97)/2)),"",IF('Oper.St.'!H95/((Liab!H84+Liab!H91+Liab!G84+Liab!G91+Liab!G97+Liab!H97)/2)=0,"",'Oper.St.'!H95/((Liab!H84+Liab!H91+Liab!G84+Liab!G91+Liab!G97+Liab!H97)/2)))</f>
        <v>0.11833078063241124</v>
      </c>
      <c r="H57" s="364">
        <f>IF(ISERROR('Oper.St.'!I95/((Liab!I84+Liab!I91+Liab!H84+Liab!H91+Liab!H97+Liab!I97)/2)),"",IF('Oper.St.'!I95/((Liab!I84+Liab!I91+Liab!H84+Liab!H91+Liab!H97+Liab!I97)/2)=0,"",'Oper.St.'!I95/((Liab!I84+Liab!I91+Liab!H84+Liab!H91+Liab!H97+Liab!I97)/2)))</f>
        <v>0.16081116600790524</v>
      </c>
      <c r="I57" s="364">
        <f>IF(ISERROR('Oper.St.'!J95/((Liab!J84+Liab!J91+Liab!I84+Liab!I91+Liab!I97+Liab!J97)/2)),"",IF('Oper.St.'!J95/((Liab!J84+Liab!J91+Liab!I84+Liab!I91+Liab!I97+Liab!J97)/2)=0,"",'Oper.St.'!J95/((Liab!J84+Liab!J91+Liab!I84+Liab!I91+Liab!I97+Liab!J97)/2)))</f>
        <v>0.18001257411067195</v>
      </c>
      <c r="J57" s="364">
        <f>IF(ISERROR('Oper.St.'!K95/((Liab!K84+Liab!K91+Liab!J84+Liab!J91+Liab!J97+Liab!K97)/2)),"",IF('Oper.St.'!K95/((Liab!K84+Liab!K91+Liab!J84+Liab!J91+Liab!J97+Liab!K97)/2)=0,"",'Oper.St.'!K95/((Liab!K84+Liab!K91+Liab!J84+Liab!J91+Liab!J97+Liab!K97)/2)))</f>
        <v>0.19773512845849764</v>
      </c>
      <c r="K57" s="364">
        <f>IF(ISERROR('Oper.St.'!L95/((Liab!L84+Liab!L91+Liab!K84+Liab!K91+Liab!K97+Liab!L97)/2)),"",IF('Oper.St.'!L95/((Liab!L84+Liab!L91+Liab!K84+Liab!K91+Liab!K97+Liab!L97)/2)=0,"",'Oper.St.'!L95/((Liab!L84+Liab!L91+Liab!K84+Liab!K91+Liab!K97+Liab!L97)/2)))</f>
        <v>0.21920998023715424</v>
      </c>
      <c r="L57" s="364">
        <f>IF(ISERROR('Oper.St.'!M95/((Liab!M84+Liab!M91+Liab!L84+Liab!L91+Liab!L97+Liab!M97)/2)),"",IF('Oper.St.'!M95/((Liab!M84+Liab!M91+Liab!L84+Liab!L91+Liab!L97+Liab!M97)/2)=0,"",'Oper.St.'!M95/((Liab!M84+Liab!M91+Liab!L84+Liab!L91+Liab!L97+Liab!M97)/2)))</f>
        <v>0.25190402667984185</v>
      </c>
      <c r="M57" s="364" t="str">
        <f>IF(ISERROR('Oper.St.'!N95/((Liab!N84+Liab!N91+Liab!M84+Liab!M91+Liab!M97+Liab!N97)/2)),"",IF('Oper.St.'!N95/((Liab!N84+Liab!N91+Liab!M84+Liab!M91+Liab!M97+Liab!N97)/2)=0,"",'Oper.St.'!N95/((Liab!N84+Liab!N91+Liab!M84+Liab!M91+Liab!M97+Liab!N97)/2)))</f>
        <v/>
      </c>
      <c r="N57" s="364" t="str">
        <f>IF(ISERROR('Oper.St.'!O95/((Liab!O84+Liab!O91+Liab!N84+Liab!N91+Liab!N97+Liab!O97)/2)),"",IF('Oper.St.'!O95/((Liab!O84+Liab!O91+Liab!N84+Liab!N91+Liab!N97+Liab!O97)/2)=0,"",'Oper.St.'!O95/((Liab!O84+Liab!O91+Liab!N84+Liab!N91+Liab!N97+Liab!O97)/2)))</f>
        <v/>
      </c>
      <c r="O57" s="364" t="str">
        <f>IF(ISERROR('Oper.St.'!P95/((Liab!P84+Liab!P91+Liab!O84+Liab!O91+Liab!O97+Liab!P97)/2)),"",IF('Oper.St.'!P95/((Liab!P84+Liab!P91+Liab!O84+Liab!O91+Liab!O97+Liab!P97)/2)=0,"",'Oper.St.'!P95/((Liab!P84+Liab!P91+Liab!O84+Liab!O91+Liab!O97+Liab!P97)/2)))</f>
        <v/>
      </c>
      <c r="P57" s="364" t="str">
        <f>IF(ISERROR('Oper.St.'!Q95/((Liab!Q84+Liab!Q91+Liab!P84+Liab!P91+Liab!P97+Liab!Q97)/2)),"",IF('Oper.St.'!Q95/((Liab!Q84+Liab!Q91+Liab!P84+Liab!P91+Liab!P97+Liab!Q97)/2)=0,"",'Oper.St.'!Q95/((Liab!Q84+Liab!Q91+Liab!P84+Liab!P91+Liab!P97+Liab!Q97)/2)))</f>
        <v/>
      </c>
      <c r="Q57" s="364" t="str">
        <f>IF(ISERROR('Oper.St.'!R95/((Liab!R84+Liab!R91+Liab!Q84+Liab!Q91+Liab!Q97+Liab!R97)/2)),"",IF('Oper.St.'!R95/((Liab!R84+Liab!R91+Liab!Q84+Liab!Q91+Liab!Q97+Liab!R97)/2)=0,"",'Oper.St.'!R95/((Liab!R84+Liab!R91+Liab!Q84+Liab!Q91+Liab!Q97+Liab!R97)/2)))</f>
        <v/>
      </c>
      <c r="R57" s="364" t="str">
        <f>IF(ISERROR('Oper.St.'!S95/((Liab!S84+Liab!S91+Liab!R84+Liab!R91+Liab!R97+Liab!S97)/2)),"",IF('Oper.St.'!S95/((Liab!S84+Liab!S91+Liab!R84+Liab!R91+Liab!R97+Liab!S97)/2)=0,"",'Oper.St.'!S95/((Liab!S84+Liab!S91+Liab!R84+Liab!R91+Liab!R97+Liab!S97)/2)))</f>
        <v/>
      </c>
      <c r="S57" s="364" t="str">
        <f>IF(ISERROR('Oper.St.'!T95/((Liab!T84+Liab!T91+Liab!S84+Liab!S91+Liab!S97+Liab!T97)/2)),"",IF('Oper.St.'!T95/((Liab!T84+Liab!T91+Liab!S84+Liab!S91+Liab!S97+Liab!T97)/2)=0,"",'Oper.St.'!T95/((Liab!T84+Liab!T91+Liab!S84+Liab!S91+Liab!S97+Liab!T97)/2)))</f>
        <v/>
      </c>
      <c r="T57" s="364" t="str">
        <f>IF(ISERROR('Oper.St.'!U95/((Liab!U84+Liab!U91+Liab!T84+Liab!T91+Liab!T97+Liab!U97)/2)),"",IF('Oper.St.'!U95/((Liab!U84+Liab!U91+Liab!T84+Liab!T91+Liab!T97+Liab!U97)/2)=0,"",'Oper.St.'!U95/((Liab!U84+Liab!U91+Liab!T84+Liab!T91+Liab!T97+Liab!U97)/2)))</f>
        <v/>
      </c>
      <c r="U57" s="364" t="str">
        <f>IF(ISERROR('Oper.St.'!V95/((Liab!V84+Liab!V91+Liab!U84+Liab!U91+Liab!U97+Liab!V97)/2)),"",IF('Oper.St.'!V95/((Liab!V84+Liab!V91+Liab!U84+Liab!U91+Liab!U97+Liab!V97)/2)=0,"",'Oper.St.'!V95/((Liab!V84+Liab!V91+Liab!U84+Liab!U91+Liab!U97+Liab!V97)/2)))</f>
        <v/>
      </c>
      <c r="V57" s="617"/>
    </row>
    <row r="58" spans="1:22" s="361" customFormat="1" ht="11.1" customHeight="1" x14ac:dyDescent="0.2">
      <c r="A58" s="366"/>
      <c r="B58" s="350" t="str">
        <f>IF(INPUT!C51="","",CONCATENATE("(",INPUT!C51,"%",")"))</f>
        <v/>
      </c>
      <c r="C58" s="350" t="str">
        <f>IF(INPUT!D51="","",CONCATENATE("(",INPUT!D51,"%",")"))</f>
        <v/>
      </c>
      <c r="D58" s="350" t="str">
        <f>IF(INPUT!E51="","",CONCATENATE("(",INPUT!E51,"%",")"))</f>
        <v/>
      </c>
      <c r="E58" s="350" t="str">
        <f>IF(INPUT!F51="","",CONCATENATE("(",INPUT!F51,"%",")"))</f>
        <v/>
      </c>
      <c r="F58" s="350" t="str">
        <f>IF(INPUT!G51="","",CONCATENATE("(",INPUT!G51,"%",")"))</f>
        <v/>
      </c>
      <c r="G58" s="350" t="str">
        <f>IF(INPUT!H51="","",CONCATENATE("(",INPUT!H51,"%",")"))</f>
        <v/>
      </c>
      <c r="H58" s="350" t="str">
        <f>IF(INPUT!I51="","",CONCATENATE("(",INPUT!I51,"%",")"))</f>
        <v/>
      </c>
      <c r="I58" s="350" t="str">
        <f>IF(INPUT!J51="","",CONCATENATE("(",INPUT!J51,"%",")"))</f>
        <v/>
      </c>
      <c r="J58" s="350" t="str">
        <f>IF(INPUT!K51="","",CONCATENATE("(",INPUT!K51,"%",")"))</f>
        <v/>
      </c>
      <c r="K58" s="350" t="str">
        <f>IF(INPUT!L51="","",CONCATENATE("(",INPUT!L51,"%",")"))</f>
        <v/>
      </c>
      <c r="L58" s="350" t="str">
        <f>IF(INPUT!M51="","",CONCATENATE("(",INPUT!M51,"%",")"))</f>
        <v/>
      </c>
      <c r="M58" s="350" t="str">
        <f>IF(INPUT!N51="","",CONCATENATE("(",INPUT!N51,"%",")"))</f>
        <v/>
      </c>
      <c r="N58" s="350" t="str">
        <f>IF(INPUT!O51="","",CONCATENATE("(",INPUT!O51,"%",")"))</f>
        <v/>
      </c>
      <c r="O58" s="350" t="str">
        <f>IF(INPUT!P51="","",CONCATENATE("(",INPUT!P51,"%",")"))</f>
        <v/>
      </c>
      <c r="P58" s="350" t="str">
        <f>IF(INPUT!Q51="","",CONCATENATE("(",INPUT!Q51,"%",")"))</f>
        <v/>
      </c>
      <c r="Q58" s="350" t="str">
        <f>IF(INPUT!R51="","",CONCATENATE("(",INPUT!R51,"%",")"))</f>
        <v/>
      </c>
      <c r="R58" s="350" t="str">
        <f>IF(INPUT!S51="","",CONCATENATE("(",INPUT!S51,"%",")"))</f>
        <v/>
      </c>
      <c r="S58" s="350" t="str">
        <f>IF(INPUT!T51="","",CONCATENATE("(",INPUT!T51,"%",")"))</f>
        <v/>
      </c>
      <c r="T58" s="350" t="str">
        <f>IF(INPUT!U51="","",CONCATENATE("(",INPUT!U51,"%",")"))</f>
        <v/>
      </c>
      <c r="U58" s="350" t="str">
        <f>IF(INPUT!V51="","",CONCATENATE("(",INPUT!V51,"%",")"))</f>
        <v/>
      </c>
      <c r="V58" s="616"/>
    </row>
    <row r="59" spans="1:22" ht="15.75" customHeight="1" x14ac:dyDescent="0.2">
      <c r="A59" s="634" t="s">
        <v>791</v>
      </c>
      <c r="B59" s="610"/>
      <c r="C59" s="610"/>
      <c r="D59" s="610"/>
      <c r="E59" s="610"/>
      <c r="F59" s="610"/>
      <c r="G59" s="610"/>
      <c r="H59" s="610"/>
      <c r="I59" s="610"/>
      <c r="J59" s="610"/>
      <c r="K59" s="610"/>
      <c r="L59" s="610"/>
      <c r="M59" s="610"/>
      <c r="N59" s="610"/>
      <c r="O59" s="610"/>
      <c r="P59" s="610"/>
      <c r="Q59" s="610"/>
      <c r="R59" s="610"/>
      <c r="S59" s="610"/>
      <c r="T59" s="610"/>
      <c r="U59" s="610"/>
      <c r="V59" s="612"/>
    </row>
    <row r="60" spans="1:22" ht="12.75" customHeight="1" x14ac:dyDescent="0.2">
      <c r="A60" s="634" t="s">
        <v>892</v>
      </c>
      <c r="B60" s="610"/>
      <c r="C60" s="610"/>
      <c r="D60" s="610"/>
      <c r="E60" s="610"/>
      <c r="F60" s="610"/>
      <c r="G60" s="610"/>
      <c r="H60" s="610"/>
      <c r="I60" s="610"/>
      <c r="J60" s="610"/>
      <c r="K60" s="610"/>
      <c r="L60" s="610"/>
      <c r="M60" s="610"/>
      <c r="N60" s="610"/>
      <c r="O60" s="610"/>
      <c r="P60" s="610"/>
      <c r="Q60" s="610"/>
      <c r="R60" s="610"/>
      <c r="S60" s="610"/>
      <c r="T60" s="610"/>
      <c r="U60" s="610"/>
      <c r="V60" s="612"/>
    </row>
    <row r="61" spans="1:22" s="797" customFormat="1" ht="17.25" customHeight="1" x14ac:dyDescent="0.2">
      <c r="A61" s="798" t="s">
        <v>665</v>
      </c>
      <c r="B61" s="795">
        <f>IF(ISERROR(B37/B7),"",IF(B37/B7=0,"",B37/B7))</f>
        <v>0.16249999999999995</v>
      </c>
      <c r="C61" s="795">
        <f t="shared" ref="C61:U61" si="4">IF(ISERROR(C37/C7),"",IF(C37/C7=0,"",C37/C7))</f>
        <v>0.14285714285714285</v>
      </c>
      <c r="D61" s="795">
        <f t="shared" si="4"/>
        <v>0.20454545454545461</v>
      </c>
      <c r="E61" s="795">
        <f t="shared" si="4"/>
        <v>0.19999999999999996</v>
      </c>
      <c r="F61" s="795">
        <f t="shared" si="4"/>
        <v>0.16400000000000003</v>
      </c>
      <c r="G61" s="795">
        <f t="shared" si="4"/>
        <v>0.15577596266044347</v>
      </c>
      <c r="H61" s="795">
        <f t="shared" si="4"/>
        <v>0.13483424047501244</v>
      </c>
      <c r="I61" s="795">
        <f t="shared" si="4"/>
        <v>0.12066228169652984</v>
      </c>
      <c r="J61" s="795">
        <f t="shared" si="4"/>
        <v>0.10800667222685559</v>
      </c>
      <c r="K61" s="795">
        <f t="shared" si="4"/>
        <v>9.802037286181052E-2</v>
      </c>
      <c r="L61" s="795">
        <f t="shared" si="4"/>
        <v>9.199288256227757E-2</v>
      </c>
      <c r="M61" s="795" t="str">
        <f t="shared" si="4"/>
        <v/>
      </c>
      <c r="N61" s="795" t="str">
        <f t="shared" si="4"/>
        <v/>
      </c>
      <c r="O61" s="795" t="str">
        <f t="shared" si="4"/>
        <v/>
      </c>
      <c r="P61" s="795" t="str">
        <f t="shared" si="4"/>
        <v/>
      </c>
      <c r="Q61" s="795" t="str">
        <f t="shared" si="4"/>
        <v/>
      </c>
      <c r="R61" s="795" t="str">
        <f t="shared" si="4"/>
        <v/>
      </c>
      <c r="S61" s="795" t="str">
        <f t="shared" si="4"/>
        <v/>
      </c>
      <c r="T61" s="795" t="str">
        <f t="shared" si="4"/>
        <v/>
      </c>
      <c r="U61" s="795" t="str">
        <f t="shared" si="4"/>
        <v/>
      </c>
      <c r="V61" s="796"/>
    </row>
    <row r="62" spans="1:22" ht="23.25" customHeight="1" x14ac:dyDescent="0.25">
      <c r="A62" s="620" t="s">
        <v>457</v>
      </c>
      <c r="B62" s="610"/>
      <c r="C62" s="610"/>
      <c r="D62" s="610"/>
      <c r="E62" s="610"/>
      <c r="F62" s="610"/>
      <c r="G62" s="610"/>
      <c r="H62" s="610"/>
      <c r="I62" s="610"/>
      <c r="J62" s="610"/>
      <c r="K62" s="610"/>
      <c r="L62" s="610"/>
      <c r="M62" s="610"/>
      <c r="N62" s="610"/>
      <c r="O62" s="610"/>
      <c r="P62" s="610"/>
      <c r="Q62" s="610"/>
      <c r="R62" s="610"/>
      <c r="S62" s="610"/>
      <c r="T62" s="610"/>
      <c r="U62" s="610"/>
      <c r="V62" s="612"/>
    </row>
    <row r="63" spans="1:22" s="297" customFormat="1" ht="12.75" customHeight="1" x14ac:dyDescent="0.25">
      <c r="A63" s="260" t="s">
        <v>392</v>
      </c>
      <c r="B63" s="261">
        <f>B3</f>
        <v>2020</v>
      </c>
      <c r="C63" s="261">
        <f t="shared" ref="C63:O63" si="5">C3</f>
        <v>2021</v>
      </c>
      <c r="D63" s="261">
        <f t="shared" si="5"/>
        <v>2022</v>
      </c>
      <c r="E63" s="261">
        <f t="shared" si="5"/>
        <v>2023</v>
      </c>
      <c r="F63" s="261">
        <f t="shared" si="5"/>
        <v>2024</v>
      </c>
      <c r="G63" s="261">
        <f t="shared" si="5"/>
        <v>2025</v>
      </c>
      <c r="H63" s="261">
        <f t="shared" si="5"/>
        <v>2026</v>
      </c>
      <c r="I63" s="261">
        <f t="shared" si="5"/>
        <v>2027</v>
      </c>
      <c r="J63" s="261">
        <f t="shared" si="5"/>
        <v>2028</v>
      </c>
      <c r="K63" s="261">
        <f t="shared" si="5"/>
        <v>2029</v>
      </c>
      <c r="L63" s="261">
        <f t="shared" si="5"/>
        <v>2030</v>
      </c>
      <c r="M63" s="261">
        <f t="shared" si="5"/>
        <v>2031</v>
      </c>
      <c r="N63" s="261">
        <f t="shared" si="5"/>
        <v>2032</v>
      </c>
      <c r="O63" s="261">
        <f t="shared" si="5"/>
        <v>2033</v>
      </c>
      <c r="P63" s="261">
        <f t="shared" ref="P63:U63" si="6">P3</f>
        <v>2034</v>
      </c>
      <c r="Q63" s="261">
        <f t="shared" si="6"/>
        <v>2035</v>
      </c>
      <c r="R63" s="261">
        <f t="shared" si="6"/>
        <v>2036</v>
      </c>
      <c r="S63" s="261">
        <f t="shared" si="6"/>
        <v>2037</v>
      </c>
      <c r="T63" s="261">
        <f t="shared" si="6"/>
        <v>2038</v>
      </c>
      <c r="U63" s="261">
        <f t="shared" si="6"/>
        <v>2039</v>
      </c>
      <c r="V63" s="613"/>
    </row>
    <row r="64" spans="1:22" s="297" customFormat="1" ht="12.75" customHeight="1" x14ac:dyDescent="0.25">
      <c r="A64" s="260"/>
      <c r="B64" s="261" t="str">
        <f>B4</f>
        <v>AUD.</v>
      </c>
      <c r="C64" s="261" t="str">
        <f t="shared" ref="C64:O64" si="7">C4</f>
        <v>AUD.</v>
      </c>
      <c r="D64" s="261" t="str">
        <f t="shared" si="7"/>
        <v>AUD.</v>
      </c>
      <c r="E64" s="261" t="str">
        <f t="shared" si="7"/>
        <v>EST.</v>
      </c>
      <c r="F64" s="261" t="str">
        <f t="shared" si="7"/>
        <v>PROJ.</v>
      </c>
      <c r="G64" s="261" t="str">
        <f t="shared" si="7"/>
        <v>PROJ.</v>
      </c>
      <c r="H64" s="261" t="str">
        <f t="shared" si="7"/>
        <v>PROJ.</v>
      </c>
      <c r="I64" s="261" t="str">
        <f t="shared" si="7"/>
        <v>PROJ.</v>
      </c>
      <c r="J64" s="261" t="str">
        <f t="shared" si="7"/>
        <v>PROJ.</v>
      </c>
      <c r="K64" s="261" t="str">
        <f t="shared" si="7"/>
        <v>PROJ.</v>
      </c>
      <c r="L64" s="261" t="str">
        <f t="shared" si="7"/>
        <v>PROJ.</v>
      </c>
      <c r="M64" s="261" t="str">
        <f t="shared" si="7"/>
        <v>PROJ.</v>
      </c>
      <c r="N64" s="261" t="str">
        <f t="shared" si="7"/>
        <v>PROJ.</v>
      </c>
      <c r="O64" s="261" t="str">
        <f t="shared" si="7"/>
        <v>PROJ.</v>
      </c>
      <c r="P64" s="261" t="str">
        <f t="shared" ref="P64:U64" si="8">P4</f>
        <v>PROJ.</v>
      </c>
      <c r="Q64" s="261" t="str">
        <f t="shared" si="8"/>
        <v>PROJ.</v>
      </c>
      <c r="R64" s="261" t="str">
        <f t="shared" si="8"/>
        <v>PROJ.</v>
      </c>
      <c r="S64" s="261" t="str">
        <f t="shared" si="8"/>
        <v>PROJ.</v>
      </c>
      <c r="T64" s="261" t="str">
        <f t="shared" si="8"/>
        <v>PROJ.</v>
      </c>
      <c r="U64" s="261" t="str">
        <f t="shared" si="8"/>
        <v>PROJ.</v>
      </c>
      <c r="V64" s="613"/>
    </row>
    <row r="65" spans="1:22" s="347" customFormat="1" ht="15.75" customHeight="1" x14ac:dyDescent="0.2">
      <c r="A65" s="345" t="s">
        <v>864</v>
      </c>
      <c r="B65" s="346"/>
      <c r="C65" s="343">
        <f>IF(ISERROR(C35-'Oper.St.'!D100+INPUT!D19+INPUT!D16-'Oper.St.'!D84),"",IF(C35-'Oper.St.'!D100+INPUT!D19+INPUT!D16-'Oper.St.'!D84=0,"",C35-'Oper.St.'!D100+INPUT!D19+INPUT!D16-'Oper.St.'!D84))</f>
        <v>0.11</v>
      </c>
      <c r="D65" s="343">
        <f>IF(ISERROR(D35-'Oper.St.'!E100+INPUT!E19+INPUT!E16-'Oper.St.'!E84),"",IF(D35-'Oper.St.'!E100+INPUT!E19+INPUT!E16-'Oper.St.'!E84=0,"",D35-'Oper.St.'!E100+INPUT!E19+INPUT!E16-'Oper.St.'!E84))</f>
        <v>0.2900000000000002</v>
      </c>
      <c r="E65" s="343">
        <f>IF(ISERROR(E35-'Oper.St.'!F100+INPUT!F19+INPUT!F16-'Oper.St.'!F84),"",IF(E35-'Oper.St.'!F100+INPUT!F19+INPUT!F16-'Oper.St.'!F84=0,"",E35-'Oper.St.'!F100+INPUT!F19+INPUT!F16-'Oper.St.'!F84))</f>
        <v>0.23699999999999988</v>
      </c>
      <c r="F65" s="343">
        <f>IF(ISERROR(F35-'Oper.St.'!G100+INPUT!G19+INPUT!G16-'Oper.St.'!G84),"",IF(F35-'Oper.St.'!G100+INPUT!G19+INPUT!G16-'Oper.St.'!G84=0,"",F35-'Oper.St.'!G100+INPUT!G19+INPUT!G16-'Oper.St.'!G84))</f>
        <v>2.1300000000000003</v>
      </c>
      <c r="G65" s="343">
        <f>IF(ISERROR(G35-'Oper.St.'!H100+INPUT!H19+INPUT!H16-'Oper.St.'!H84),"",IF(G35-'Oper.St.'!H100+INPUT!H19+INPUT!H16-'Oper.St.'!H84=0,"",G35-'Oper.St.'!H100+INPUT!H19+INPUT!H16-'Oper.St.'!H84))</f>
        <v>3.6775075000000017</v>
      </c>
      <c r="H65" s="343">
        <f>IF(ISERROR(H35-'Oper.St.'!I100+INPUT!I19+INPUT!I16-'Oper.St.'!I84),"",IF(H35-'Oper.St.'!I100+INPUT!I19+INPUT!I16-'Oper.St.'!I84=0,"",H35-'Oper.St.'!I100+INPUT!I19+INPUT!I16-'Oper.St.'!I84))</f>
        <v>3.7874090000000011</v>
      </c>
      <c r="I65" s="343">
        <f>IF(ISERROR(I35-'Oper.St.'!J100+INPUT!J19+INPUT!J16-'Oper.St.'!J84),"",IF(I35-'Oper.St.'!J100+INPUT!J19+INPUT!J16-'Oper.St.'!J84=0,"",I35-'Oper.St.'!J100+INPUT!J19+INPUT!J16-'Oper.St.'!J84))</f>
        <v>3.7017272499999998</v>
      </c>
      <c r="J65" s="343">
        <f>IF(ISERROR(J35-'Oper.St.'!K100+INPUT!K19+INPUT!K16-'Oper.St.'!K84),"",IF(J35-'Oper.St.'!K100+INPUT!K19+INPUT!K16-'Oper.St.'!K84=0,"",J35-'Oper.St.'!K100+INPUT!K19+INPUT!K16-'Oper.St.'!K84))</f>
        <v>3.6410794999999956</v>
      </c>
      <c r="K65" s="343">
        <f>IF(ISERROR(K35-'Oper.St.'!L100+INPUT!L19+INPUT!L16-'Oper.St.'!L84),"",IF(K35-'Oper.St.'!L100+INPUT!L19+INPUT!L16-'Oper.St.'!L84=0,"",K35-'Oper.St.'!L100+INPUT!L19+INPUT!L16-'Oper.St.'!L84))</f>
        <v>3.6484050000000003</v>
      </c>
      <c r="L65" s="343">
        <f>IF(ISERROR(L35-'Oper.St.'!M100+INPUT!M19+INPUT!M16-'Oper.St.'!M84),"",IF(L35-'Oper.St.'!M100+INPUT!M19+INPUT!M16-'Oper.St.'!M84=0,"",L35-'Oper.St.'!M100+INPUT!M19+INPUT!M16-'Oper.St.'!M84))</f>
        <v>3.7892687499999989</v>
      </c>
      <c r="M65" s="343" t="str">
        <f>IF(ISERROR(M35-'Oper.St.'!N100+INPUT!N19+INPUT!N16-'Oper.St.'!N84),"",IF(M35-'Oper.St.'!N100+INPUT!N19+INPUT!N16-'Oper.St.'!N84=0,"",M35-'Oper.St.'!N100+INPUT!N19+INPUT!N16-'Oper.St.'!N84))</f>
        <v/>
      </c>
      <c r="N65" s="343" t="str">
        <f>IF(ISERROR(N35-'Oper.St.'!O100+INPUT!O19+INPUT!O16-'Oper.St.'!O84),"",IF(N35-'Oper.St.'!O100+INPUT!O19+INPUT!O16-'Oper.St.'!O84=0,"",N35-'Oper.St.'!O100+INPUT!O19+INPUT!O16-'Oper.St.'!O84))</f>
        <v/>
      </c>
      <c r="O65" s="343" t="str">
        <f>IF(ISERROR(O35-'Oper.St.'!P100+INPUT!P19+INPUT!P16-'Oper.St.'!P84),"",IF(O35-'Oper.St.'!P100+INPUT!P19+INPUT!P16-'Oper.St.'!P84=0,"",O35-'Oper.St.'!P100+INPUT!P19+INPUT!P16-'Oper.St.'!P84))</f>
        <v/>
      </c>
      <c r="P65" s="343" t="str">
        <f>IF(ISERROR(P35-'Oper.St.'!Q100+INPUT!Q19+INPUT!Q16-'Oper.St.'!Q84),"",IF(P35-'Oper.St.'!Q100+INPUT!Q19+INPUT!Q16-'Oper.St.'!Q84=0,"",P35-'Oper.St.'!Q100+INPUT!Q19+INPUT!Q16-'Oper.St.'!Q84))</f>
        <v/>
      </c>
      <c r="Q65" s="343" t="str">
        <f>IF(ISERROR(Q35-'Oper.St.'!R100+INPUT!R19+INPUT!R16-'Oper.St.'!R84),"",IF(Q35-'Oper.St.'!R100+INPUT!R19+INPUT!R16-'Oper.St.'!R84=0,"",Q35-'Oper.St.'!R100+INPUT!R19+INPUT!R16-'Oper.St.'!R84))</f>
        <v/>
      </c>
      <c r="R65" s="343" t="str">
        <f>IF(ISERROR(R35-'Oper.St.'!S100+INPUT!S19+INPUT!S16-'Oper.St.'!S84),"",IF(R35-'Oper.St.'!S100+INPUT!S19+INPUT!S16-'Oper.St.'!S84=0,"",R35-'Oper.St.'!S100+INPUT!S19+INPUT!S16-'Oper.St.'!S84))</f>
        <v/>
      </c>
      <c r="S65" s="343" t="str">
        <f>IF(ISERROR(S35-'Oper.St.'!T100+INPUT!T19+INPUT!T16-'Oper.St.'!T84),"",IF(S35-'Oper.St.'!T100+INPUT!T19+INPUT!T16-'Oper.St.'!T84=0,"",S35-'Oper.St.'!T100+INPUT!T19+INPUT!T16-'Oper.St.'!T84))</f>
        <v/>
      </c>
      <c r="T65" s="343" t="str">
        <f>IF(ISERROR(T35-'Oper.St.'!U100+INPUT!U19+INPUT!U16-'Oper.St.'!U84),"",IF(T35-'Oper.St.'!U100+INPUT!U19+INPUT!U16-'Oper.St.'!U84=0,"",T35-'Oper.St.'!U100+INPUT!U19+INPUT!U16-'Oper.St.'!U84))</f>
        <v/>
      </c>
      <c r="U65" s="343" t="str">
        <f>IF(ISERROR(U35-'Oper.St.'!V100+INPUT!V19+INPUT!V16-'Oper.St.'!V84),"",IF(U35-'Oper.St.'!V100+INPUT!V19+INPUT!V16-'Oper.St.'!V84=0,"",U35-'Oper.St.'!V100+INPUT!V19+INPUT!V16-'Oper.St.'!V84))</f>
        <v/>
      </c>
      <c r="V65" s="619"/>
    </row>
    <row r="66" spans="1:22" x14ac:dyDescent="0.2">
      <c r="A66" s="287" t="s">
        <v>1062</v>
      </c>
      <c r="B66" s="280"/>
      <c r="C66" s="256" t="str">
        <f>IF(ISERROR(Liab!D84+Liab!D86+Liab!D88+Liab!D91+SUM(Liab!D93:D95)+Liab!D97-Liab!C84-Liab!C86-Liab!C88-Liab!C91-SUM(Liab!C93:C95)-Liab!C97),"",IF(Liab!D84+Liab!D86+Liab!D88+Liab!D91+SUM(Liab!D93:D95)+Liab!D97-Liab!C84-Liab!C86-Liab!C88-Liab!C91-SUM(Liab!C93:C95)-Liab!C97=0,"",Liab!D84+Liab!D86+Liab!D88+Liab!D91+SUM(Liab!D93:D95)+Liab!D97-Liab!C84-Liab!C86-Liab!C88-Liab!C91-SUM(Liab!C93:C95)-Liab!C97))</f>
        <v/>
      </c>
      <c r="D66" s="256" t="str">
        <f>IF(ISERROR(Liab!E84+Liab!E86+Liab!E88+Liab!E91+SUM(Liab!E93:E95)+Liab!E97-Liab!D84-Liab!D86-Liab!D88-Liab!D91-SUM(Liab!D93:D95)-Liab!D97),"",IF(Liab!E84+Liab!E86+Liab!E88+Liab!E91+SUM(Liab!E93:E95)+Liab!E97-Liab!D84-Liab!D86-Liab!D88-Liab!D91-SUM(Liab!D93:D95)-Liab!D97=0,"",Liab!E84+Liab!E86+Liab!E88+Liab!E91+SUM(Liab!E93:E95)+Liab!E97-Liab!D84-Liab!D86-Liab!D88-Liab!D91-SUM(Liab!D93:D95)-Liab!D97))</f>
        <v/>
      </c>
      <c r="E66" s="256">
        <f>IF(ISERROR(Liab!F84+Liab!F86+Liab!F88+Liab!F91+SUM(Liab!F93:F95)+Liab!F97-Liab!E84-Liab!E86-Liab!E88-Liab!E91-SUM(Liab!E93:E95)-Liab!E97),"",IF(Liab!F84+Liab!F86+Liab!F88+Liab!F91+SUM(Liab!F93:F95)+Liab!F97-Liab!E84-Liab!E86-Liab!E88-Liab!E91-SUM(Liab!E93:E95)-Liab!E97=0,"",Liab!F84+Liab!F86+Liab!F88+Liab!F91+SUM(Liab!F93:F95)+Liab!F97-Liab!E84-Liab!E86-Liab!E88-Liab!E91-SUM(Liab!E93:E95)-Liab!E97))</f>
        <v>7.99</v>
      </c>
      <c r="F66" s="256">
        <f>IF(ISERROR(Liab!G84+Liab!G86+Liab!G88+Liab!G91+SUM(Liab!G93:G95)+Liab!G97-Liab!F84-Liab!F86-Liab!F88-Liab!F91-SUM(Liab!F93:F95)-Liab!F97),"",IF(Liab!G84+Liab!G86+Liab!G88+Liab!G91+SUM(Liab!G93:G95)+Liab!G97-Liab!F84-Liab!F86-Liab!F88-Liab!F91-SUM(Liab!F93:F95)-Liab!F97=0,"",Liab!G84+Liab!G86+Liab!G88+Liab!G91+SUM(Liab!G93:G95)+Liab!G97-Liab!F84-Liab!F86-Liab!F88-Liab!F91-SUM(Liab!F93:F95)-Liab!F97))</f>
        <v>2.1199999999999992</v>
      </c>
      <c r="G66" s="256" t="str">
        <f>IF(ISERROR(Liab!H84+Liab!H86+Liab!H88+Liab!H91+SUM(Liab!H93:H95)+Liab!H97-Liab!G84-Liab!G86-Liab!G88-Liab!G91-SUM(Liab!G93:G95)-Liab!G97),"",IF(Liab!H84+Liab!H86+Liab!H88+Liab!H91+SUM(Liab!H93:H95)+Liab!H97-Liab!G84-Liab!G86-Liab!G88-Liab!G91-SUM(Liab!G93:G95)-Liab!G97=0,"",Liab!H84+Liab!H86+Liab!H88+Liab!H91+SUM(Liab!H93:H95)+Liab!H97-Liab!G84-Liab!G86-Liab!G88-Liab!G91-SUM(Liab!G93:G95)-Liab!G97))</f>
        <v/>
      </c>
      <c r="H66" s="256" t="str">
        <f>IF(ISERROR(Liab!I84+Liab!I86+Liab!I88+Liab!I91+SUM(Liab!I93:I95)+Liab!I97-Liab!H84-Liab!H86-Liab!H88-Liab!H91-SUM(Liab!H93:H95)-Liab!H97),"",IF(Liab!I84+Liab!I86+Liab!I88+Liab!I91+SUM(Liab!I93:I95)+Liab!I97-Liab!H84-Liab!H86-Liab!H88-Liab!H91-SUM(Liab!H93:H95)-Liab!H97=0,"",Liab!I84+Liab!I86+Liab!I88+Liab!I91+SUM(Liab!I93:I95)+Liab!I97-Liab!H84-Liab!H86-Liab!H88-Liab!H91-SUM(Liab!H93:H95)-Liab!H97))</f>
        <v/>
      </c>
      <c r="I66" s="256" t="str">
        <f>IF(ISERROR(Liab!J84+Liab!J86+Liab!J88+Liab!J91+SUM(Liab!J93:J95)+Liab!J97-Liab!I84-Liab!I86-Liab!I88-Liab!I91-SUM(Liab!I93:I95)-Liab!I97),"",IF(Liab!J84+Liab!J86+Liab!J88+Liab!J91+SUM(Liab!J93:J95)+Liab!J97-Liab!I84-Liab!I86-Liab!I88-Liab!I91-SUM(Liab!I93:I95)-Liab!I97=0,"",Liab!J84+Liab!J86+Liab!J88+Liab!J91+SUM(Liab!J93:J95)+Liab!J97-Liab!I84-Liab!I86-Liab!I88-Liab!I91-SUM(Liab!I93:I95)-Liab!I97))</f>
        <v/>
      </c>
      <c r="J66" s="256" t="str">
        <f>IF(ISERROR(Liab!K84+Liab!K86+Liab!K88+Liab!K91+SUM(Liab!K93:K95)+Liab!K97-Liab!J84-Liab!J86-Liab!J88-Liab!J91-SUM(Liab!J93:J95)-Liab!J97),"",IF(Liab!K84+Liab!K86+Liab!K88+Liab!K91+SUM(Liab!K93:K95)+Liab!K97-Liab!J84-Liab!J86-Liab!J88-Liab!J91-SUM(Liab!J93:J95)-Liab!J97=0,"",Liab!K84+Liab!K86+Liab!K88+Liab!K91+SUM(Liab!K93:K95)+Liab!K97-Liab!J84-Liab!J86-Liab!J88-Liab!J91-SUM(Liab!J93:J95)-Liab!J97))</f>
        <v/>
      </c>
      <c r="K66" s="256" t="str">
        <f>IF(ISERROR(Liab!L84+Liab!L86+Liab!L88+Liab!L91+SUM(Liab!L93:L95)+Liab!L97-Liab!K84-Liab!K86-Liab!K88-Liab!K91-SUM(Liab!K93:K95)-Liab!K97),"",IF(Liab!L84+Liab!L86+Liab!L88+Liab!L91+SUM(Liab!L93:L95)+Liab!L97-Liab!K84-Liab!K86-Liab!K88-Liab!K91-SUM(Liab!K93:K95)-Liab!K97=0,"",Liab!L84+Liab!L86+Liab!L88+Liab!L91+SUM(Liab!L93:L95)+Liab!L97-Liab!K84-Liab!K86-Liab!K88-Liab!K91-SUM(Liab!K93:K95)-Liab!K97))</f>
        <v/>
      </c>
      <c r="L66" s="256" t="str">
        <f>IF(ISERROR(Liab!M84+Liab!M86+Liab!M88+Liab!M91+SUM(Liab!M93:M95)+Liab!M97-Liab!L84-Liab!L86-Liab!L88-Liab!L91-SUM(Liab!L93:L95)-Liab!L97),"",IF(Liab!M84+Liab!M86+Liab!M88+Liab!M91+SUM(Liab!M93:M95)+Liab!M97-Liab!L84-Liab!L86-Liab!L88-Liab!L91-SUM(Liab!L93:L95)-Liab!L97=0,"",Liab!M84+Liab!M86+Liab!M88+Liab!M91+SUM(Liab!M93:M95)+Liab!M97-Liab!L84-Liab!L86-Liab!L88-Liab!L91-SUM(Liab!L93:L95)-Liab!L97))</f>
        <v/>
      </c>
      <c r="M66" s="256">
        <f>IF(ISERROR(Liab!N84+Liab!N86+Liab!N88+Liab!N91+SUM(Liab!N93:N95)+Liab!N97-Liab!M84-Liab!M86-Liab!M88-Liab!M91-SUM(Liab!M93:M95)-Liab!M97),"",IF(Liab!N84+Liab!N86+Liab!N88+Liab!N91+SUM(Liab!N93:N95)+Liab!N97-Liab!M84-Liab!M86-Liab!M88-Liab!M91-SUM(Liab!M93:M95)-Liab!M97=0,"",Liab!N84+Liab!N86+Liab!N88+Liab!N91+SUM(Liab!N93:N95)+Liab!N97-Liab!M84-Liab!M86-Liab!M88-Liab!M91-SUM(Liab!M93:M95)-Liab!M97))</f>
        <v>-10.119999999999999</v>
      </c>
      <c r="N66" s="256" t="str">
        <f>IF(ISERROR(Liab!O84+Liab!O86+Liab!O88+Liab!O91+SUM(Liab!O93:O95)+Liab!O97-Liab!N84-Liab!N86-Liab!N88-Liab!N91-SUM(Liab!N93:N95)-Liab!N97),"",IF(Liab!O84+Liab!O86+Liab!O88+Liab!O91+SUM(Liab!O93:O95)+Liab!O97-Liab!N84-Liab!N86-Liab!N88-Liab!N91-SUM(Liab!N93:N95)-Liab!N97=0,"",Liab!O84+Liab!O86+Liab!O88+Liab!O91+SUM(Liab!O93:O95)+Liab!O97-Liab!N84-Liab!N86-Liab!N88-Liab!N91-SUM(Liab!N93:N95)-Liab!N97))</f>
        <v/>
      </c>
      <c r="O66" s="256" t="str">
        <f>IF(ISERROR(Liab!P84+Liab!P86+Liab!P88+Liab!P91+SUM(Liab!P93:P95)+Liab!P97-Liab!O84-Liab!O86-Liab!O88-Liab!O91-SUM(Liab!O93:O95)-Liab!O97),"",IF(Liab!P84+Liab!P86+Liab!P88+Liab!P91+SUM(Liab!P93:P95)+Liab!P97-Liab!O84-Liab!O86-Liab!O88-Liab!O91-SUM(Liab!O93:O95)-Liab!O97=0,"",Liab!P84+Liab!P86+Liab!P88+Liab!P91+SUM(Liab!P93:P95)+Liab!P97-Liab!O84-Liab!O86-Liab!O88-Liab!O91-SUM(Liab!O93:O95)-Liab!O97))</f>
        <v/>
      </c>
      <c r="P66" s="256" t="str">
        <f>IF(ISERROR(Liab!Q84+Liab!Q86+Liab!Q88+Liab!Q91+SUM(Liab!Q93:Q95)+Liab!Q97-Liab!P84-Liab!P86-Liab!P88-Liab!P91-SUM(Liab!P93:P95)-Liab!P97),"",IF(Liab!Q84+Liab!Q86+Liab!Q88+Liab!Q91+SUM(Liab!Q93:Q95)+Liab!Q97-Liab!P84-Liab!P86-Liab!P88-Liab!P91-SUM(Liab!P93:P95)-Liab!P97=0,"",Liab!Q84+Liab!Q86+Liab!Q88+Liab!Q91+SUM(Liab!Q93:Q95)+Liab!Q97-Liab!P84-Liab!P86-Liab!P88-Liab!P91-SUM(Liab!P93:P95)-Liab!P97))</f>
        <v/>
      </c>
      <c r="Q66" s="256" t="str">
        <f>IF(ISERROR(Liab!R84+Liab!R86+Liab!R88+Liab!R91+SUM(Liab!R93:R95)+Liab!R97-Liab!Q84-Liab!Q86-Liab!Q88-Liab!Q91-SUM(Liab!Q93:Q95)-Liab!Q97),"",IF(Liab!R84+Liab!R86+Liab!R88+Liab!R91+SUM(Liab!R93:R95)+Liab!R97-Liab!Q84-Liab!Q86-Liab!Q88-Liab!Q91-SUM(Liab!Q93:Q95)-Liab!Q97=0,"",Liab!R84+Liab!R86+Liab!R88+Liab!R91+SUM(Liab!R93:R95)+Liab!R97-Liab!Q84-Liab!Q86-Liab!Q88-Liab!Q91-SUM(Liab!Q93:Q95)-Liab!Q97))</f>
        <v/>
      </c>
      <c r="R66" s="256" t="str">
        <f>IF(ISERROR(Liab!S84+Liab!S86+Liab!S88+Liab!S91+SUM(Liab!S93:S95)+Liab!S97-Liab!R84-Liab!R86-Liab!R88-Liab!R91-SUM(Liab!R93:R95)-Liab!R97),"",IF(Liab!S84+Liab!S86+Liab!S88+Liab!S91+SUM(Liab!S93:S95)+Liab!S97-Liab!R84-Liab!R86-Liab!R88-Liab!R91-SUM(Liab!R93:R95)-Liab!R97=0,"",Liab!S84+Liab!S86+Liab!S88+Liab!S91+SUM(Liab!S93:S95)+Liab!S97-Liab!R84-Liab!R86-Liab!R88-Liab!R91-SUM(Liab!R93:R95)-Liab!R97))</f>
        <v/>
      </c>
      <c r="S66" s="256" t="str">
        <f>IF(ISERROR(Liab!T84+Liab!T86+Liab!T88+Liab!T91+SUM(Liab!T93:T95)+Liab!T97-Liab!S84-Liab!S86-Liab!S88-Liab!S91-SUM(Liab!S93:S95)-Liab!S97),"",IF(Liab!T84+Liab!T86+Liab!T88+Liab!T91+SUM(Liab!T93:T95)+Liab!T97-Liab!S84-Liab!S86-Liab!S88-Liab!S91-SUM(Liab!S93:S95)-Liab!S97=0,"",Liab!T84+Liab!T86+Liab!T88+Liab!T91+SUM(Liab!T93:T95)+Liab!T97-Liab!S84-Liab!S86-Liab!S88-Liab!S91-SUM(Liab!S93:S95)-Liab!S97))</f>
        <v/>
      </c>
      <c r="T66" s="256" t="str">
        <f>IF(ISERROR(Liab!U84+Liab!U86+Liab!U88+Liab!U91+SUM(Liab!U93:U95)+Liab!U97-Liab!T84-Liab!T86-Liab!T88-Liab!T91-SUM(Liab!T93:T95)-Liab!T97),"",IF(Liab!U84+Liab!U86+Liab!U88+Liab!U91+SUM(Liab!U93:U95)+Liab!U97-Liab!T84-Liab!T86-Liab!T88-Liab!T91-SUM(Liab!T93:T95)-Liab!T97=0,"",Liab!U84+Liab!U86+Liab!U88+Liab!U91+SUM(Liab!U93:U95)+Liab!U97-Liab!T84-Liab!T86-Liab!T88-Liab!T91-SUM(Liab!T93:T95)-Liab!T97))</f>
        <v/>
      </c>
      <c r="U66" s="256" t="str">
        <f>IF(ISERROR(Liab!V84+Liab!V86+Liab!V88+Liab!V91+SUM(Liab!V93:V95)+Liab!V97-Liab!U84-Liab!U86-Liab!U88-Liab!U91-SUM(Liab!U93:U95)-Liab!U97),"",IF(Liab!V84+Liab!V86+Liab!V88+Liab!V91+SUM(Liab!V93:V95)+Liab!V97-Liab!U84-Liab!U86-Liab!U88-Liab!U91-SUM(Liab!U93:U95)-Liab!U97=0,"",Liab!V84+Liab!V86+Liab!V88+Liab!V91+SUM(Liab!V93:V95)+Liab!V97-Liab!U84-Liab!U86-Liab!U88-Liab!U91-SUM(Liab!U93:U95)-Liab!U97))</f>
        <v/>
      </c>
      <c r="V66" s="612"/>
    </row>
    <row r="67" spans="1:22" x14ac:dyDescent="0.2">
      <c r="A67" s="287" t="s">
        <v>609</v>
      </c>
      <c r="B67" s="280"/>
      <c r="C67" s="256" t="str">
        <f>IF(ISERROR(Liab!D65+Liab!D67-Liab!C65-Liab!C67),"",IF(Liab!D65+Liab!D67-Liab!C65-Liab!C67=0,"",Liab!D65+Liab!D67-Liab!C65-Liab!C67))</f>
        <v/>
      </c>
      <c r="D67" s="256">
        <f>IF(ISERROR(Liab!E65+Liab!E67-Liab!D65-Liab!D67),"",IF(Liab!E65+Liab!E67-Liab!D65-Liab!D67=0,"",Liab!E65+Liab!E67-Liab!D65-Liab!D67))</f>
        <v>2</v>
      </c>
      <c r="E67" s="256">
        <f>IF(ISERROR(Liab!F65+Liab!F67-Liab!E65-Liab!E67),"",IF(Liab!F65+Liab!F67-Liab!E65-Liab!E67=0,"",Liab!F65+Liab!F67-Liab!E65-Liab!E67))</f>
        <v>2.92</v>
      </c>
      <c r="F67" s="256">
        <f>IF(ISERROR(Liab!G65+Liab!G67-Liab!F65-Liab!F67),"",IF(Liab!G65+Liab!G67-Liab!F65-Liab!F67=0,"",Liab!G65+Liab!G67-Liab!F65-Liab!F67))</f>
        <v>5.92</v>
      </c>
      <c r="G67" s="256">
        <f>IF(ISERROR(Liab!H65+Liab!H67-Liab!G65-Liab!G67),"",IF(Liab!H65+Liab!H67-Liab!G65-Liab!G67=0,"",Liab!H65+Liab!H67-Liab!G65-Liab!G67))</f>
        <v>-1.4599999999999982</v>
      </c>
      <c r="H67" s="256">
        <f>IF(ISERROR(Liab!I65+Liab!I67-Liab!H65-Liab!H67),"",IF(Liab!I65+Liab!I67-Liab!H65-Liab!H67=0,"",Liab!I65+Liab!I67-Liab!H65-Liab!H67))</f>
        <v>-1.8199999999999892</v>
      </c>
      <c r="I67" s="256">
        <f>IF(ISERROR(Liab!J65+Liab!J67-Liab!I65-Liab!I67),"",IF(Liab!J65+Liab!J67-Liab!I65-Liab!I67=0,"",Liab!J65+Liab!J67-Liab!I65-Liab!I67))</f>
        <v>-2.1600000000000046</v>
      </c>
      <c r="J67" s="256">
        <f>IF(ISERROR(Liab!K65+Liab!K67-Liab!J65-Liab!J67),"",IF(Liab!K65+Liab!K67-Liab!J65-Liab!J67=0,"",Liab!K65+Liab!K67-Liab!J65-Liab!J67))</f>
        <v>-2.3999999999999964</v>
      </c>
      <c r="K67" s="256">
        <f>IF(ISERROR(Liab!L65+Liab!L67-Liab!K65-Liab!K67),"",IF(Liab!L65+Liab!L67-Liab!K65-Liab!K67=0,"",Liab!L65+Liab!L67-Liab!K65-Liab!K67))</f>
        <v>-3.0000000000000022</v>
      </c>
      <c r="L67" s="256">
        <f>IF(ISERROR(Liab!M65+Liab!M67-Liab!L65-Liab!L67),"",IF(Liab!M65+Liab!M67-Liab!L65-Liab!L67=0,"",Liab!M65+Liab!M67-Liab!L65-Liab!L67))</f>
        <v>-1.0658141036401503E-14</v>
      </c>
      <c r="M67" s="256" t="str">
        <f>IF(ISERROR(Liab!N65+Liab!N67-Liab!M65-Liab!M67),"",IF(Liab!N65+Liab!N67-Liab!M65-Liab!M67=0,"",Liab!N65+Liab!N67-Liab!M65-Liab!M67))</f>
        <v/>
      </c>
      <c r="N67" s="256" t="str">
        <f>IF(ISERROR(Liab!O65+Liab!O67-Liab!N65-Liab!N67),"",IF(Liab!O65+Liab!O67-Liab!N65-Liab!N67=0,"",Liab!O65+Liab!O67-Liab!N65-Liab!N67))</f>
        <v/>
      </c>
      <c r="O67" s="256" t="str">
        <f>IF(ISERROR(Liab!P65+Liab!P67-Liab!O65-Liab!O67),"",IF(Liab!P65+Liab!P67-Liab!O65-Liab!O67=0,"",Liab!P65+Liab!P67-Liab!O65-Liab!O67))</f>
        <v/>
      </c>
      <c r="P67" s="256" t="str">
        <f>IF(ISERROR(Liab!Q65+Liab!Q67-Liab!P65-Liab!P67),"",IF(Liab!Q65+Liab!Q67-Liab!P65-Liab!P67=0,"",Liab!Q65+Liab!Q67-Liab!P65-Liab!P67))</f>
        <v/>
      </c>
      <c r="Q67" s="256" t="str">
        <f>IF(ISERROR(Liab!R65+Liab!R67-Liab!Q65-Liab!Q67),"",IF(Liab!R65+Liab!R67-Liab!Q65-Liab!Q67=0,"",Liab!R65+Liab!R67-Liab!Q65-Liab!Q67))</f>
        <v/>
      </c>
      <c r="R67" s="256" t="str">
        <f>IF(ISERROR(Liab!S65+Liab!S67-Liab!R65-Liab!R67),"",IF(Liab!S65+Liab!S67-Liab!R65-Liab!R67=0,"",Liab!S65+Liab!S67-Liab!R65-Liab!R67))</f>
        <v/>
      </c>
      <c r="S67" s="256" t="str">
        <f>IF(ISERROR(Liab!T65+Liab!T67-Liab!S65-Liab!S67),"",IF(Liab!T65+Liab!T67-Liab!S65-Liab!S67=0,"",Liab!T65+Liab!T67-Liab!S65-Liab!S67))</f>
        <v/>
      </c>
      <c r="T67" s="256" t="str">
        <f>IF(ISERROR(Liab!U65+Liab!U67-Liab!T65-Liab!T67),"",IF(Liab!U65+Liab!U67-Liab!T65-Liab!T67=0,"",Liab!U65+Liab!U67-Liab!T65-Liab!T67))</f>
        <v/>
      </c>
      <c r="U67" s="256" t="str">
        <f>IF(ISERROR(Liab!V65+Liab!V67-Liab!U65-Liab!U67),"",IF(Liab!V65+Liab!V67-Liab!U65-Liab!U67=0,"",Liab!V65+Liab!V67-Liab!U65-Liab!U67))</f>
        <v/>
      </c>
      <c r="V67" s="612"/>
    </row>
    <row r="68" spans="1:22" x14ac:dyDescent="0.2">
      <c r="A68" s="287" t="s">
        <v>1061</v>
      </c>
      <c r="B68" s="280"/>
      <c r="C68" s="256">
        <f>IF(ISERROR(Liab!D61+Liab!D63+SUM(Liab!D69:D72)+Liab!D74+Liab!D76-Liab!C61-Liab!C63-SUM(Liab!C69:C72)-Liab!C74-Liab!C76),"",IF(Liab!D61+Liab!D63+SUM(Liab!D69:D72)+Liab!D74+Liab!D76-Liab!C61-Liab!C63-SUM(Liab!C69:C72)-Liab!C74-Liab!C76=0,"",Liab!D61+Liab!D63+SUM(Liab!D69:D72)+Liab!D74+Liab!D76-Liab!C61-Liab!C63-SUM(Liab!C69:C72)-Liab!C74-Liab!C76))</f>
        <v>7.9999999999999988E-2</v>
      </c>
      <c r="D68" s="256">
        <f>IF(ISERROR(Liab!E61+Liab!E63+SUM(Liab!E69:E72)+Liab!E74+Liab!E76-Liab!D61-Liab!D63-SUM(Liab!D69:D72)-Liab!D74-Liab!D76),"",IF(Liab!E61+Liab!E63+SUM(Liab!E69:E72)+Liab!E74+Liab!E76-Liab!D61-Liab!D63-SUM(Liab!D69:D72)-Liab!D74-Liab!D76=0,"",Liab!E61+Liab!E63+SUM(Liab!E69:E72)+Liab!E74+Liab!E76-Liab!D61-Liab!D63-SUM(Liab!D69:D72)-Liab!D74-Liab!D76))</f>
        <v>1.04</v>
      </c>
      <c r="E68" s="256">
        <f>IF(ISERROR(Liab!F61+Liab!F63+SUM(Liab!F69:F72)+Liab!F74+Liab!F76-Liab!E61-Liab!E63-SUM(Liab!E69:E72)-Liab!E74-Liab!E76),"",IF(Liab!F61+Liab!F63+SUM(Liab!F69:F72)+Liab!F74+Liab!F76-Liab!E61-Liab!E63-SUM(Liab!E69:E72)-Liab!E74-Liab!E76=0,"",Liab!F61+Liab!F63+SUM(Liab!F69:F72)+Liab!F74+Liab!F76-Liab!E61-Liab!E63-SUM(Liab!E69:E72)-Liab!E74-Liab!E76))</f>
        <v>-1.1599999999999999</v>
      </c>
      <c r="F68" s="256" t="str">
        <f>IF(ISERROR(Liab!G61+Liab!G63+SUM(Liab!G69:G72)+Liab!G74+Liab!G76-Liab!F61-Liab!F63-SUM(Liab!F69:F72)-Liab!F74-Liab!F76),"",IF(Liab!G61+Liab!G63+SUM(Liab!G69:G72)+Liab!G74+Liab!G76-Liab!F61-Liab!F63-SUM(Liab!F69:F72)-Liab!F74-Liab!F76=0,"",Liab!G61+Liab!G63+SUM(Liab!G69:G72)+Liab!G74+Liab!G76-Liab!F61-Liab!F63-SUM(Liab!F69:F72)-Liab!F74-Liab!F76))</f>
        <v/>
      </c>
      <c r="G68" s="256" t="str">
        <f>IF(ISERROR(Liab!H61+Liab!H63+SUM(Liab!H69:H72)+Liab!H74+Liab!H76-Liab!G61-Liab!G63-SUM(Liab!G69:G72)-Liab!G74-Liab!G76),"",IF(Liab!H61+Liab!H63+SUM(Liab!H69:H72)+Liab!H74+Liab!H76-Liab!G61-Liab!G63-SUM(Liab!G69:G72)-Liab!G74-Liab!G76=0,"",Liab!H61+Liab!H63+SUM(Liab!H69:H72)+Liab!H74+Liab!H76-Liab!G61-Liab!G63-SUM(Liab!G69:G72)-Liab!G74-Liab!G76))</f>
        <v/>
      </c>
      <c r="H68" s="256" t="str">
        <f>IF(ISERROR(Liab!I61+Liab!I63+SUM(Liab!I69:I72)+Liab!I74+Liab!I76-Liab!H61-Liab!H63-SUM(Liab!H69:H72)-Liab!H74-Liab!H76),"",IF(Liab!I61+Liab!I63+SUM(Liab!I69:I72)+Liab!I74+Liab!I76-Liab!H61-Liab!H63-SUM(Liab!H69:H72)-Liab!H74-Liab!H76=0,"",Liab!I61+Liab!I63+SUM(Liab!I69:I72)+Liab!I74+Liab!I76-Liab!H61-Liab!H63-SUM(Liab!H69:H72)-Liab!H74-Liab!H76))</f>
        <v/>
      </c>
      <c r="I68" s="256" t="str">
        <f>IF(ISERROR(Liab!J61+Liab!J63+SUM(Liab!J69:J72)+Liab!J74+Liab!J76-Liab!I61-Liab!I63-SUM(Liab!I69:I72)-Liab!I74-Liab!I76),"",IF(Liab!J61+Liab!J63+SUM(Liab!J69:J72)+Liab!J74+Liab!J76-Liab!I61-Liab!I63-SUM(Liab!I69:I72)-Liab!I74-Liab!I76=0,"",Liab!J61+Liab!J63+SUM(Liab!J69:J72)+Liab!J74+Liab!J76-Liab!I61-Liab!I63-SUM(Liab!I69:I72)-Liab!I74-Liab!I76))</f>
        <v/>
      </c>
      <c r="J68" s="256" t="str">
        <f>IF(ISERROR(Liab!K61+Liab!K63+SUM(Liab!K69:K72)+Liab!K74+Liab!K76-Liab!J61-Liab!J63-SUM(Liab!J69:J72)-Liab!J74-Liab!J76),"",IF(Liab!K61+Liab!K63+SUM(Liab!K69:K72)+Liab!K74+Liab!K76-Liab!J61-Liab!J63-SUM(Liab!J69:J72)-Liab!J74-Liab!J76=0,"",Liab!K61+Liab!K63+SUM(Liab!K69:K72)+Liab!K74+Liab!K76-Liab!J61-Liab!J63-SUM(Liab!J69:J72)-Liab!J74-Liab!J76))</f>
        <v/>
      </c>
      <c r="K68" s="256" t="str">
        <f>IF(ISERROR(Liab!L61+Liab!L63+SUM(Liab!L69:L72)+Liab!L74+Liab!L76-Liab!K61-Liab!K63-SUM(Liab!K69:K72)-Liab!K74-Liab!K76),"",IF(Liab!L61+Liab!L63+SUM(Liab!L69:L72)+Liab!L74+Liab!L76-Liab!K61-Liab!K63-SUM(Liab!K69:K72)-Liab!K74-Liab!K76=0,"",Liab!L61+Liab!L63+SUM(Liab!L69:L72)+Liab!L74+Liab!L76-Liab!K61-Liab!K63-SUM(Liab!K69:K72)-Liab!K74-Liab!K76))</f>
        <v/>
      </c>
      <c r="L68" s="256" t="str">
        <f>IF(ISERROR(Liab!M61+Liab!M63+SUM(Liab!M69:M72)+Liab!M74+Liab!M76-Liab!L61-Liab!L63-SUM(Liab!L69:L72)-Liab!L74-Liab!L76),"",IF(Liab!M61+Liab!M63+SUM(Liab!M69:M72)+Liab!M74+Liab!M76-Liab!L61-Liab!L63-SUM(Liab!L69:L72)-Liab!L74-Liab!L76=0,"",Liab!M61+Liab!M63+SUM(Liab!M69:M72)+Liab!M74+Liab!M76-Liab!L61-Liab!L63-SUM(Liab!L69:L72)-Liab!L74-Liab!L76))</f>
        <v/>
      </c>
      <c r="M68" s="256" t="str">
        <f>IF(ISERROR(Liab!N61+Liab!N63+SUM(Liab!N69:N72)+Liab!N74+Liab!N76-Liab!M61-Liab!M63-SUM(Liab!M69:M72)-Liab!M74-Liab!M76),"",IF(Liab!N61+Liab!N63+SUM(Liab!N69:N72)+Liab!N74+Liab!N76-Liab!M61-Liab!M63-SUM(Liab!M69:M72)-Liab!M74-Liab!M76=0,"",Liab!N61+Liab!N63+SUM(Liab!N69:N72)+Liab!N74+Liab!N76-Liab!M61-Liab!M63-SUM(Liab!M69:M72)-Liab!M74-Liab!M76))</f>
        <v/>
      </c>
      <c r="N68" s="256" t="str">
        <f>IF(ISERROR(Liab!O61+Liab!O63+SUM(Liab!O69:O72)+Liab!O74+Liab!O76-Liab!N61-Liab!N63-SUM(Liab!N69:N72)-Liab!N74-Liab!N76),"",IF(Liab!O61+Liab!O63+SUM(Liab!O69:O72)+Liab!O74+Liab!O76-Liab!N61-Liab!N63-SUM(Liab!N69:N72)-Liab!N74-Liab!N76=0,"",Liab!O61+Liab!O63+SUM(Liab!O69:O72)+Liab!O74+Liab!O76-Liab!N61-Liab!N63-SUM(Liab!N69:N72)-Liab!N74-Liab!N76))</f>
        <v/>
      </c>
      <c r="O68" s="256" t="str">
        <f>IF(ISERROR(Liab!P61+Liab!P63+SUM(Liab!P69:P72)+Liab!P74+Liab!P76-Liab!O61-Liab!O63-SUM(Liab!O69:O72)-Liab!O74-Liab!O76),"",IF(Liab!P61+Liab!P63+SUM(Liab!P69:P72)+Liab!P74+Liab!P76-Liab!O61-Liab!O63-SUM(Liab!O69:O72)-Liab!O74-Liab!O76=0,"",Liab!P61+Liab!P63+SUM(Liab!P69:P72)+Liab!P74+Liab!P76-Liab!O61-Liab!O63-SUM(Liab!O69:O72)-Liab!O74-Liab!O76))</f>
        <v/>
      </c>
      <c r="P68" s="256" t="str">
        <f>IF(ISERROR(Liab!Q61+Liab!Q63+SUM(Liab!Q69:Q72)+Liab!Q74+Liab!Q76-Liab!P61-Liab!P63-SUM(Liab!P69:P72)-Liab!P74-Liab!P76),"",IF(Liab!Q61+Liab!Q63+SUM(Liab!Q69:Q72)+Liab!Q74+Liab!Q76-Liab!P61-Liab!P63-SUM(Liab!P69:P72)-Liab!P74-Liab!P76=0,"",Liab!Q61+Liab!Q63+SUM(Liab!Q69:Q72)+Liab!Q74+Liab!Q76-Liab!P61-Liab!P63-SUM(Liab!P69:P72)-Liab!P74-Liab!P76))</f>
        <v/>
      </c>
      <c r="Q68" s="256" t="str">
        <f>IF(ISERROR(Liab!R61+Liab!R63+SUM(Liab!R69:R72)+Liab!R74+Liab!R76-Liab!Q61-Liab!Q63-SUM(Liab!Q69:Q72)-Liab!Q74-Liab!Q76),"",IF(Liab!R61+Liab!R63+SUM(Liab!R69:R72)+Liab!R74+Liab!R76-Liab!Q61-Liab!Q63-SUM(Liab!Q69:Q72)-Liab!Q74-Liab!Q76=0,"",Liab!R61+Liab!R63+SUM(Liab!R69:R72)+Liab!R74+Liab!R76-Liab!Q61-Liab!Q63-SUM(Liab!Q69:Q72)-Liab!Q74-Liab!Q76))</f>
        <v/>
      </c>
      <c r="R68" s="256" t="str">
        <f>IF(ISERROR(Liab!S61+Liab!S63+SUM(Liab!S69:S72)+Liab!S74+Liab!S76-Liab!R61-Liab!R63-SUM(Liab!R69:R72)-Liab!R74-Liab!R76),"",IF(Liab!S61+Liab!S63+SUM(Liab!S69:S72)+Liab!S74+Liab!S76-Liab!R61-Liab!R63-SUM(Liab!R69:R72)-Liab!R74-Liab!R76=0,"",Liab!S61+Liab!S63+SUM(Liab!S69:S72)+Liab!S74+Liab!S76-Liab!R61-Liab!R63-SUM(Liab!R69:R72)-Liab!R74-Liab!R76))</f>
        <v/>
      </c>
      <c r="S68" s="256" t="str">
        <f>IF(ISERROR(Liab!T61+Liab!T63+SUM(Liab!T69:T72)+Liab!T74+Liab!T76-Liab!S61-Liab!S63-SUM(Liab!S69:S72)-Liab!S74-Liab!S76),"",IF(Liab!T61+Liab!T63+SUM(Liab!T69:T72)+Liab!T74+Liab!T76-Liab!S61-Liab!S63-SUM(Liab!S69:S72)-Liab!S74-Liab!S76=0,"",Liab!T61+Liab!T63+SUM(Liab!T69:T72)+Liab!T74+Liab!T76-Liab!S61-Liab!S63-SUM(Liab!S69:S72)-Liab!S74-Liab!S76))</f>
        <v/>
      </c>
      <c r="T68" s="256" t="str">
        <f>IF(ISERROR(Liab!U61+Liab!U63+SUM(Liab!U69:U72)+Liab!U74+Liab!U76-Liab!T61-Liab!T63-SUM(Liab!T69:T72)-Liab!T74-Liab!T76),"",IF(Liab!U61+Liab!U63+SUM(Liab!U69:U72)+Liab!U74+Liab!U76-Liab!T61-Liab!T63-SUM(Liab!T69:T72)-Liab!T74-Liab!T76=0,"",Liab!U61+Liab!U63+SUM(Liab!U69:U72)+Liab!U74+Liab!U76-Liab!T61-Liab!T63-SUM(Liab!T69:T72)-Liab!T74-Liab!T76))</f>
        <v/>
      </c>
      <c r="U68" s="256" t="str">
        <f>IF(ISERROR(Liab!V61+Liab!V63+SUM(Liab!V69:V72)+Liab!V74+Liab!V76-Liab!U61-Liab!U63-SUM(Liab!U69:U72)-Liab!U74-Liab!U76),"",IF(Liab!V61+Liab!V63+SUM(Liab!V69:V72)+Liab!V74+Liab!V76-Liab!U61-Liab!U63-SUM(Liab!U69:U72)-Liab!U74-Liab!U76=0,"",Liab!V61+Liab!V63+SUM(Liab!V69:V72)+Liab!V74+Liab!V76-Liab!U61-Liab!U63-SUM(Liab!U69:U72)-Liab!U74-Liab!U76))</f>
        <v/>
      </c>
      <c r="V68" s="612"/>
    </row>
    <row r="69" spans="1:22" s="304" customFormat="1" ht="15" x14ac:dyDescent="0.25">
      <c r="A69" s="285" t="s">
        <v>258</v>
      </c>
      <c r="B69" s="256">
        <f>SUM(B65:B68)</f>
        <v>0</v>
      </c>
      <c r="C69" s="281">
        <f>SUM(C65:C68)</f>
        <v>0.19</v>
      </c>
      <c r="D69" s="281">
        <f t="shared" ref="D69:U69" si="9">SUM(D65:D68)</f>
        <v>3.33</v>
      </c>
      <c r="E69" s="281">
        <f t="shared" si="9"/>
        <v>9.9870000000000001</v>
      </c>
      <c r="F69" s="281">
        <f t="shared" si="9"/>
        <v>10.17</v>
      </c>
      <c r="G69" s="281">
        <f t="shared" si="9"/>
        <v>2.2175075000000035</v>
      </c>
      <c r="H69" s="281">
        <f t="shared" si="9"/>
        <v>1.967409000000012</v>
      </c>
      <c r="I69" s="281">
        <f t="shared" si="9"/>
        <v>1.5417272499999952</v>
      </c>
      <c r="J69" s="281">
        <f t="shared" si="9"/>
        <v>1.2410794999999992</v>
      </c>
      <c r="K69" s="281">
        <f t="shared" si="9"/>
        <v>0.64840499999999812</v>
      </c>
      <c r="L69" s="281">
        <f t="shared" si="9"/>
        <v>3.7892687499999882</v>
      </c>
      <c r="M69" s="281">
        <f t="shared" si="9"/>
        <v>-10.119999999999999</v>
      </c>
      <c r="N69" s="281">
        <f t="shared" si="9"/>
        <v>0</v>
      </c>
      <c r="O69" s="281">
        <f t="shared" si="9"/>
        <v>0</v>
      </c>
      <c r="P69" s="281">
        <f t="shared" si="9"/>
        <v>0</v>
      </c>
      <c r="Q69" s="281">
        <f t="shared" si="9"/>
        <v>0</v>
      </c>
      <c r="R69" s="281">
        <f t="shared" si="9"/>
        <v>0</v>
      </c>
      <c r="S69" s="281">
        <f t="shared" si="9"/>
        <v>0</v>
      </c>
      <c r="T69" s="281">
        <f t="shared" si="9"/>
        <v>0</v>
      </c>
      <c r="U69" s="281">
        <f t="shared" si="9"/>
        <v>0</v>
      </c>
      <c r="V69" s="620"/>
    </row>
    <row r="70" spans="1:22" ht="15" x14ac:dyDescent="0.25">
      <c r="A70" s="285" t="s">
        <v>58</v>
      </c>
      <c r="B70" s="256"/>
      <c r="C70" s="256"/>
      <c r="D70" s="256"/>
      <c r="E70" s="256"/>
      <c r="F70" s="256"/>
      <c r="G70" s="256"/>
      <c r="H70" s="256"/>
      <c r="I70" s="256"/>
      <c r="J70" s="256"/>
      <c r="K70" s="256"/>
      <c r="L70" s="256"/>
      <c r="M70" s="256"/>
      <c r="N70" s="256"/>
      <c r="O70" s="256"/>
      <c r="P70" s="256"/>
      <c r="Q70" s="256"/>
      <c r="R70" s="256"/>
      <c r="S70" s="256"/>
      <c r="T70" s="256"/>
      <c r="U70" s="256"/>
      <c r="V70" s="612"/>
    </row>
    <row r="71" spans="1:22" x14ac:dyDescent="0.2">
      <c r="A71" s="287" t="s">
        <v>59</v>
      </c>
      <c r="B71" s="280">
        <v>0</v>
      </c>
      <c r="C71" s="256">
        <f>IF(ISERROR(Asset!D60-Asset!C60),"",IF(Asset!D60-Asset!C60=0,"",Asset!D60-Asset!C60))</f>
        <v>1.999999999999999E-2</v>
      </c>
      <c r="D71" s="256">
        <f>IF(ISERROR(Asset!E60-Asset!D60),"",IF(Asset!E60-Asset!D60=0,"",Asset!E60-Asset!D60))</f>
        <v>3.9399999999999995</v>
      </c>
      <c r="E71" s="256">
        <f>IF(ISERROR(Asset!F60-Asset!E60),"",IF(Asset!F60-Asset!E60=0,"",Asset!F60-Asset!E60))</f>
        <v>8.4400000000000013</v>
      </c>
      <c r="F71" s="256">
        <f>IF(ISERROR(Asset!G60-Asset!F60),"",IF(Asset!G60-Asset!F60=0,"",Asset!G60-Asset!F60))</f>
        <v>9.2100000000000009</v>
      </c>
      <c r="G71" s="256" t="str">
        <f>IF(ISERROR(Asset!H60-Asset!G60),"",IF(Asset!H60-Asset!G60=0,"",Asset!H60-Asset!G60))</f>
        <v/>
      </c>
      <c r="H71" s="256" t="str">
        <f>IF(ISERROR(Asset!I60-Asset!H60),"",IF(Asset!I60-Asset!H60=0,"",Asset!I60-Asset!H60))</f>
        <v/>
      </c>
      <c r="I71" s="256" t="str">
        <f>IF(ISERROR(Asset!J60-Asset!I60),"",IF(Asset!J60-Asset!I60=0,"",Asset!J60-Asset!I60))</f>
        <v/>
      </c>
      <c r="J71" s="256" t="str">
        <f>IF(ISERROR(Asset!K60-Asset!J60),"",IF(Asset!K60-Asset!J60=0,"",Asset!K60-Asset!J60))</f>
        <v/>
      </c>
      <c r="K71" s="256" t="str">
        <f>IF(ISERROR(Asset!L60-Asset!K60),"",IF(Asset!L60-Asset!K60=0,"",Asset!L60-Asset!K60))</f>
        <v/>
      </c>
      <c r="L71" s="256" t="str">
        <f>IF(ISERROR(Asset!M60-Asset!L60),"",IF(Asset!M60-Asset!L60=0,"",Asset!M60-Asset!L60))</f>
        <v/>
      </c>
      <c r="M71" s="256" t="str">
        <f>IF(ISERROR(Asset!N60-Asset!M60),"",IF(Asset!N60-Asset!M60=0,"",Asset!N60-Asset!M60))</f>
        <v/>
      </c>
      <c r="N71" s="256" t="str">
        <f>IF(ISERROR(Asset!O60-Asset!N60),"",IF(Asset!O60-Asset!N60=0,"",Asset!O60-Asset!N60))</f>
        <v/>
      </c>
      <c r="O71" s="256" t="str">
        <f>IF(ISERROR(Asset!P60-Asset!O60),"",IF(Asset!P60-Asset!O60=0,"",Asset!P60-Asset!O60))</f>
        <v/>
      </c>
      <c r="P71" s="256">
        <f>IF(ISERROR(Asset!Q60-Asset!P60),"",IF(Asset!Q60-Asset!P60=0,"",Asset!Q60-Asset!P60))</f>
        <v>-21.71</v>
      </c>
      <c r="Q71" s="256" t="str">
        <f>IF(ISERROR(Asset!R60-Asset!Q60),"",IF(Asset!R60-Asset!Q60=0,"",Asset!R60-Asset!Q60))</f>
        <v/>
      </c>
      <c r="R71" s="256" t="str">
        <f>IF(ISERROR(Asset!S60-Asset!R60),"",IF(Asset!S60-Asset!R60=0,"",Asset!S60-Asset!R60))</f>
        <v/>
      </c>
      <c r="S71" s="256" t="str">
        <f>IF(ISERROR(Asset!T60-Asset!S60),"",IF(Asset!T60-Asset!S60=0,"",Asset!T60-Asset!S60))</f>
        <v/>
      </c>
      <c r="T71" s="256" t="str">
        <f>IF(ISERROR(Asset!U60-Asset!T60),"",IF(Asset!U60-Asset!T60=0,"",Asset!U60-Asset!T60))</f>
        <v/>
      </c>
      <c r="U71" s="256" t="str">
        <f>IF(ISERROR(Asset!V60-Asset!U60),"",IF(Asset!V60-Asset!U60=0,"",Asset!V60-Asset!U60))</f>
        <v/>
      </c>
      <c r="V71" s="612"/>
    </row>
    <row r="72" spans="1:22" x14ac:dyDescent="0.2">
      <c r="A72" s="287" t="s">
        <v>666</v>
      </c>
      <c r="B72" s="280">
        <v>0</v>
      </c>
      <c r="C72" s="256" t="str">
        <f>IF(ISERROR(SUM(Asset!D70:D71)+Asset!D73+SUM(Asset!D75:D84)+Asset!D89-SUM(Asset!C70:C71)-Asset!C73-SUM(Asset!C75:C84)-Asset!C89),"",IF(SUM(Asset!D70:D71)+Asset!D73+SUM(Asset!D75:D84)+Asset!D89-SUM(Asset!C70:C71)-Asset!C73-SUM(Asset!C75:C84)-Asset!C89=0,"",SUM(Asset!D70:D71)+Asset!D73+SUM(Asset!D75:D84)+Asset!D89-SUM(Asset!C70:C71)-Asset!C73-SUM(Asset!C75:C84)-Asset!C89))</f>
        <v/>
      </c>
      <c r="D72" s="256">
        <f>IF(ISERROR(SUM(Asset!E70:E71)+Asset!E73+SUM(Asset!E75:E84)+Asset!E89-SUM(Asset!D70:D71)-Asset!D73-SUM(Asset!D75:D84)-Asset!D89),"",IF(SUM(Asset!E70:E71)+Asset!E73+SUM(Asset!E75:E84)+Asset!E89-SUM(Asset!D70:D71)-Asset!D73-SUM(Asset!D75:D84)-Asset!D89=0,"",SUM(Asset!E70:E71)+Asset!E73+SUM(Asset!E75:E84)+Asset!E89-SUM(Asset!D70:D71)-Asset!D73-SUM(Asset!D75:D84)-Asset!D89))</f>
        <v>0.17</v>
      </c>
      <c r="E72" s="256">
        <f>IF(ISERROR(SUM(Asset!F70:F71)+Asset!F73+SUM(Asset!F75:F84)+Asset!F89-SUM(Asset!E70:E71)-Asset!E73-SUM(Asset!E75:E84)-Asset!E89),"",IF(SUM(Asset!F70:F71)+Asset!F73+SUM(Asset!F75:F84)+Asset!F89-SUM(Asset!E70:E71)-Asset!E73-SUM(Asset!E75:E84)-Asset!E89=0,"",SUM(Asset!F70:F71)+Asset!F73+SUM(Asset!F75:F84)+Asset!F89-SUM(Asset!E70:E71)-Asset!E73-SUM(Asset!E75:E84)-Asset!E89))</f>
        <v>1.6</v>
      </c>
      <c r="F72" s="256">
        <f>IF(ISERROR(SUM(Asset!G70:G71)+Asset!G73+SUM(Asset!G75:G84)+Asset!G89-SUM(Asset!F70:F71)-Asset!F73-SUM(Asset!F75:F84)-Asset!F89),"",IF(SUM(Asset!G70:G71)+Asset!G73+SUM(Asset!G75:G84)+Asset!G89-SUM(Asset!F70:F71)-Asset!F73-SUM(Asset!F75:F84)-Asset!F89=0,"",SUM(Asset!G70:G71)+Asset!G73+SUM(Asset!G75:G84)+Asset!G89-SUM(Asset!F70:F71)-Asset!F73-SUM(Asset!F75:F84)-Asset!F89))</f>
        <v>-1.37</v>
      </c>
      <c r="G72" s="256">
        <f>IF(ISERROR(SUM(Asset!H70:H71)+Asset!H73+SUM(Asset!H75:H84)+Asset!H89-SUM(Asset!G70:G71)-Asset!G73-SUM(Asset!G75:G84)-Asset!G89),"",IF(SUM(Asset!H70:H71)+Asset!H73+SUM(Asset!H75:H84)+Asset!H89-SUM(Asset!G70:G71)-Asset!G73-SUM(Asset!G75:G84)-Asset!G89=0,"",SUM(Asset!H70:H71)+Asset!H73+SUM(Asset!H75:H84)+Asset!H89-SUM(Asset!G70:G71)-Asset!G73-SUM(Asset!G75:G84)-Asset!G89))</f>
        <v>-2.0000000000000004E-2</v>
      </c>
      <c r="H72" s="256">
        <f>IF(ISERROR(SUM(Asset!I70:I71)+Asset!I73+SUM(Asset!I75:I84)+Asset!I89-SUM(Asset!H70:H71)-Asset!H73-SUM(Asset!H75:H84)-Asset!H89),"",IF(SUM(Asset!I70:I71)+Asset!I73+SUM(Asset!I75:I84)+Asset!I89-SUM(Asset!H70:H71)-Asset!H73-SUM(Asset!H75:H84)-Asset!H89=0,"",SUM(Asset!I70:I71)+Asset!I73+SUM(Asset!I75:I84)+Asset!I89-SUM(Asset!H70:H71)-Asset!H73-SUM(Asset!H75:H84)-Asset!H89))</f>
        <v>-2.0000000000000018E-2</v>
      </c>
      <c r="I72" s="256">
        <f>IF(ISERROR(SUM(Asset!J70:J71)+Asset!J73+SUM(Asset!J75:J84)+Asset!J89-SUM(Asset!I70:I71)-Asset!I73-SUM(Asset!I75:I84)-Asset!I89),"",IF(SUM(Asset!J70:J71)+Asset!J73+SUM(Asset!J75:J84)+Asset!J89-SUM(Asset!I70:I71)-Asset!I73-SUM(Asset!I75:I84)-Asset!I89=0,"",SUM(Asset!J70:J71)+Asset!J73+SUM(Asset!J75:J84)+Asset!J89-SUM(Asset!I70:I71)-Asset!I73-SUM(Asset!I75:I84)-Asset!I89))</f>
        <v>-1.9999999999999983E-2</v>
      </c>
      <c r="J72" s="256">
        <f>IF(ISERROR(SUM(Asset!K70:K71)+Asset!K73+SUM(Asset!K75:K84)+Asset!K89-SUM(Asset!J70:J71)-Asset!J73-SUM(Asset!J75:J84)-Asset!J89),"",IF(SUM(Asset!K70:K71)+Asset!K73+SUM(Asset!K75:K84)+Asset!K89-SUM(Asset!J70:J71)-Asset!J73-SUM(Asset!J75:J84)-Asset!J89=0,"",SUM(Asset!K70:K71)+Asset!K73+SUM(Asset!K75:K84)+Asset!K89-SUM(Asset!J70:J71)-Asset!J73-SUM(Asset!J75:J84)-Asset!J89))</f>
        <v>-0.02</v>
      </c>
      <c r="K72" s="256" t="str">
        <f>IF(ISERROR(SUM(Asset!L70:L71)+Asset!L73+SUM(Asset!L75:L84)+Asset!L89-SUM(Asset!K70:K71)-Asset!K73-SUM(Asset!K75:K84)-Asset!K89),"",IF(SUM(Asset!L70:L71)+Asset!L73+SUM(Asset!L75:L84)+Asset!L89-SUM(Asset!K70:K71)-Asset!K73-SUM(Asset!K75:K84)-Asset!K89=0,"",SUM(Asset!L70:L71)+Asset!L73+SUM(Asset!L75:L84)+Asset!L89-SUM(Asset!K70:K71)-Asset!K73-SUM(Asset!K75:K84)-Asset!K89))</f>
        <v/>
      </c>
      <c r="L72" s="256" t="str">
        <f>IF(ISERROR(SUM(Asset!M70:M71)+Asset!M73+SUM(Asset!M75:M84)+Asset!M89-SUM(Asset!L70:L71)-Asset!L73-SUM(Asset!L75:L84)-Asset!L89),"",IF(SUM(Asset!M70:M71)+Asset!M73+SUM(Asset!M75:M84)+Asset!M89-SUM(Asset!L70:L71)-Asset!L73-SUM(Asset!L75:L84)-Asset!L89=0,"",SUM(Asset!M70:M71)+Asset!M73+SUM(Asset!M75:M84)+Asset!M89-SUM(Asset!L70:L71)-Asset!L73-SUM(Asset!L75:L84)-Asset!L89))</f>
        <v/>
      </c>
      <c r="M72" s="256">
        <f>IF(ISERROR(SUM(Asset!N70:N71)+Asset!N73+SUM(Asset!N75:N84)+Asset!N89-SUM(Asset!M70:M71)-Asset!M73-SUM(Asset!M75:M84)-Asset!M89),"",IF(SUM(Asset!N70:N71)+Asset!N73+SUM(Asset!N75:N84)+Asset!N89-SUM(Asset!M70:M71)-Asset!M73-SUM(Asset!M75:M84)-Asset!M89=0,"",SUM(Asset!N70:N71)+Asset!N73+SUM(Asset!N75:N84)+Asset!N89-SUM(Asset!M70:M71)-Asset!M73-SUM(Asset!M75:M84)-Asset!M89))</f>
        <v>-0.32</v>
      </c>
      <c r="N72" s="256" t="str">
        <f>IF(ISERROR(SUM(Asset!O70:O71)+Asset!O73+SUM(Asset!O75:O84)+Asset!O89-SUM(Asset!N70:N71)-Asset!N73-SUM(Asset!N75:N84)-Asset!N89),"",IF(SUM(Asset!O70:O71)+Asset!O73+SUM(Asset!O75:O84)+Asset!O89-SUM(Asset!N70:N71)-Asset!N73-SUM(Asset!N75:N84)-Asset!N89=0,"",SUM(Asset!O70:O71)+Asset!O73+SUM(Asset!O75:O84)+Asset!O89-SUM(Asset!N70:N71)-Asset!N73-SUM(Asset!N75:N84)-Asset!N89))</f>
        <v/>
      </c>
      <c r="O72" s="256" t="str">
        <f>IF(ISERROR(SUM(Asset!P70:P71)+Asset!P73+SUM(Asset!P75:P84)+Asset!P89-SUM(Asset!O70:O71)-Asset!O73-SUM(Asset!O75:O84)-Asset!O89),"",IF(SUM(Asset!P70:P71)+Asset!P73+SUM(Asset!P75:P84)+Asset!P89-SUM(Asset!O70:O71)-Asset!O73-SUM(Asset!O75:O84)-Asset!O89=0,"",SUM(Asset!P70:P71)+Asset!P73+SUM(Asset!P75:P84)+Asset!P89-SUM(Asset!O70:O71)-Asset!O73-SUM(Asset!O75:O84)-Asset!O89))</f>
        <v/>
      </c>
      <c r="P72" s="256" t="str">
        <f>IF(ISERROR(SUM(Asset!Q70:Q71)+Asset!Q73+SUM(Asset!Q75:Q84)+Asset!Q89-SUM(Asset!P70:P71)-Asset!P73-SUM(Asset!P75:P84)-Asset!P89),"",IF(SUM(Asset!Q70:Q71)+Asset!Q73+SUM(Asset!Q75:Q84)+Asset!Q89-SUM(Asset!P70:P71)-Asset!P73-SUM(Asset!P75:P84)-Asset!P89=0,"",SUM(Asset!Q70:Q71)+Asset!Q73+SUM(Asset!Q75:Q84)+Asset!Q89-SUM(Asset!P70:P71)-Asset!P73-SUM(Asset!P75:P84)-Asset!P89))</f>
        <v/>
      </c>
      <c r="Q72" s="256" t="str">
        <f>IF(ISERROR(SUM(Asset!R70:R71)+Asset!R73+SUM(Asset!R75:R84)+Asset!R89-SUM(Asset!Q70:Q71)-Asset!Q73-SUM(Asset!Q75:Q84)-Asset!Q89),"",IF(SUM(Asset!R70:R71)+Asset!R73+SUM(Asset!R75:R84)+Asset!R89-SUM(Asset!Q70:Q71)-Asset!Q73-SUM(Asset!Q75:Q84)-Asset!Q89=0,"",SUM(Asset!R70:R71)+Asset!R73+SUM(Asset!R75:R84)+Asset!R89-SUM(Asset!Q70:Q71)-Asset!Q73-SUM(Asset!Q75:Q84)-Asset!Q89))</f>
        <v/>
      </c>
      <c r="R72" s="256" t="str">
        <f>IF(ISERROR(SUM(Asset!S70:S71)+Asset!S73+SUM(Asset!S75:S84)+Asset!S89-SUM(Asset!R70:R71)-Asset!R73-SUM(Asset!R75:R84)-Asset!R89),"",IF(SUM(Asset!S70:S71)+Asset!S73+SUM(Asset!S75:S84)+Asset!S89-SUM(Asset!R70:R71)-Asset!R73-SUM(Asset!R75:R84)-Asset!R89=0,"",SUM(Asset!S70:S71)+Asset!S73+SUM(Asset!S75:S84)+Asset!S89-SUM(Asset!R70:R71)-Asset!R73-SUM(Asset!R75:R84)-Asset!R89))</f>
        <v/>
      </c>
      <c r="S72" s="256" t="str">
        <f>IF(ISERROR(SUM(Asset!T70:T71)+Asset!T73+SUM(Asset!T75:T84)+Asset!T89-SUM(Asset!S70:S71)-Asset!S73-SUM(Asset!S75:S84)-Asset!S89),"",IF(SUM(Asset!T70:T71)+Asset!T73+SUM(Asset!T75:T84)+Asset!T89-SUM(Asset!S70:S71)-Asset!S73-SUM(Asset!S75:S84)-Asset!S89=0,"",SUM(Asset!T70:T71)+Asset!T73+SUM(Asset!T75:T84)+Asset!T89-SUM(Asset!S70:S71)-Asset!S73-SUM(Asset!S75:S84)-Asset!S89))</f>
        <v/>
      </c>
      <c r="T72" s="256" t="str">
        <f>IF(ISERROR(SUM(Asset!U70:U71)+Asset!U73+SUM(Asset!U75:U84)+Asset!U89-SUM(Asset!T70:T71)-Asset!T73-SUM(Asset!T75:T84)-Asset!T89),"",IF(SUM(Asset!U70:U71)+Asset!U73+SUM(Asset!U75:U84)+Asset!U89-SUM(Asset!T70:T71)-Asset!T73-SUM(Asset!T75:T84)-Asset!T89=0,"",SUM(Asset!U70:U71)+Asset!U73+SUM(Asset!U75:U84)+Asset!U89-SUM(Asset!T70:T71)-Asset!T73-SUM(Asset!T75:T84)-Asset!T89))</f>
        <v/>
      </c>
      <c r="U72" s="256" t="str">
        <f>IF(ISERROR(SUM(Asset!V70:V71)+Asset!V73+SUM(Asset!V75:V84)+Asset!V89-SUM(Asset!U70:U71)-Asset!U73-SUM(Asset!U75:U84)-Asset!U89),"",IF(SUM(Asset!V70:V71)+Asset!V73+SUM(Asset!V75:V84)+Asset!V89-SUM(Asset!U70:U71)-Asset!U73-SUM(Asset!U75:U84)-Asset!U89=0,"",SUM(Asset!V70:V71)+Asset!V73+SUM(Asset!V75:V84)+Asset!V89-SUM(Asset!U70:U71)-Asset!U73-SUM(Asset!U75:U84)-Asset!U89))</f>
        <v/>
      </c>
      <c r="V72" s="612"/>
    </row>
    <row r="73" spans="1:22" s="304" customFormat="1" ht="15" x14ac:dyDescent="0.25">
      <c r="A73" s="285" t="s">
        <v>258</v>
      </c>
      <c r="B73" s="281">
        <f>SUM(B71:B72)</f>
        <v>0</v>
      </c>
      <c r="C73" s="281">
        <f>SUM(C71:C72)</f>
        <v>1.999999999999999E-2</v>
      </c>
      <c r="D73" s="281">
        <f t="shared" ref="D73:U73" si="10">SUM(D71:D72)</f>
        <v>4.1099999999999994</v>
      </c>
      <c r="E73" s="281">
        <f t="shared" si="10"/>
        <v>10.040000000000001</v>
      </c>
      <c r="F73" s="281">
        <f t="shared" si="10"/>
        <v>7.8400000000000007</v>
      </c>
      <c r="G73" s="281">
        <f t="shared" si="10"/>
        <v>-2.0000000000000004E-2</v>
      </c>
      <c r="H73" s="281">
        <f t="shared" si="10"/>
        <v>-2.0000000000000018E-2</v>
      </c>
      <c r="I73" s="281">
        <f t="shared" si="10"/>
        <v>-1.9999999999999983E-2</v>
      </c>
      <c r="J73" s="281">
        <f t="shared" si="10"/>
        <v>-0.02</v>
      </c>
      <c r="K73" s="281">
        <f t="shared" si="10"/>
        <v>0</v>
      </c>
      <c r="L73" s="281">
        <f t="shared" si="10"/>
        <v>0</v>
      </c>
      <c r="M73" s="281">
        <f t="shared" si="10"/>
        <v>-0.32</v>
      </c>
      <c r="N73" s="281">
        <f t="shared" si="10"/>
        <v>0</v>
      </c>
      <c r="O73" s="281">
        <f t="shared" si="10"/>
        <v>0</v>
      </c>
      <c r="P73" s="281">
        <f t="shared" si="10"/>
        <v>-21.71</v>
      </c>
      <c r="Q73" s="281">
        <f t="shared" si="10"/>
        <v>0</v>
      </c>
      <c r="R73" s="281">
        <f t="shared" si="10"/>
        <v>0</v>
      </c>
      <c r="S73" s="281">
        <f t="shared" si="10"/>
        <v>0</v>
      </c>
      <c r="T73" s="281">
        <f t="shared" si="10"/>
        <v>0</v>
      </c>
      <c r="U73" s="281">
        <f t="shared" si="10"/>
        <v>0</v>
      </c>
      <c r="V73" s="620"/>
    </row>
    <row r="74" spans="1:22" s="304" customFormat="1" ht="28.5" customHeight="1" x14ac:dyDescent="0.25">
      <c r="A74" s="285" t="s">
        <v>60</v>
      </c>
      <c r="B74" s="281">
        <f>B69-B73</f>
        <v>0</v>
      </c>
      <c r="C74" s="281">
        <f>C69-C73</f>
        <v>0.17</v>
      </c>
      <c r="D74" s="281">
        <f t="shared" ref="D74:U74" si="11">D69-D73</f>
        <v>-0.77999999999999936</v>
      </c>
      <c r="E74" s="281">
        <f t="shared" si="11"/>
        <v>-5.3000000000000824E-2</v>
      </c>
      <c r="F74" s="281">
        <f t="shared" si="11"/>
        <v>2.3299999999999992</v>
      </c>
      <c r="G74" s="281">
        <f t="shared" si="11"/>
        <v>2.2375075000000035</v>
      </c>
      <c r="H74" s="281">
        <f t="shared" si="11"/>
        <v>1.987409000000012</v>
      </c>
      <c r="I74" s="281">
        <f t="shared" si="11"/>
        <v>1.5617272499999952</v>
      </c>
      <c r="J74" s="281">
        <f t="shared" si="11"/>
        <v>1.2610794999999992</v>
      </c>
      <c r="K74" s="281">
        <f t="shared" si="11"/>
        <v>0.64840499999999812</v>
      </c>
      <c r="L74" s="281">
        <f t="shared" si="11"/>
        <v>3.7892687499999882</v>
      </c>
      <c r="M74" s="281">
        <f t="shared" si="11"/>
        <v>-9.7999999999999989</v>
      </c>
      <c r="N74" s="281">
        <f t="shared" si="11"/>
        <v>0</v>
      </c>
      <c r="O74" s="281">
        <f t="shared" si="11"/>
        <v>0</v>
      </c>
      <c r="P74" s="281">
        <f t="shared" si="11"/>
        <v>21.71</v>
      </c>
      <c r="Q74" s="281">
        <f t="shared" si="11"/>
        <v>0</v>
      </c>
      <c r="R74" s="281">
        <f t="shared" si="11"/>
        <v>0</v>
      </c>
      <c r="S74" s="281">
        <f t="shared" si="11"/>
        <v>0</v>
      </c>
      <c r="T74" s="281">
        <f t="shared" si="11"/>
        <v>0</v>
      </c>
      <c r="U74" s="281">
        <f t="shared" si="11"/>
        <v>0</v>
      </c>
      <c r="V74" s="620"/>
    </row>
    <row r="75" spans="1:22" s="304" customFormat="1" ht="14.25" customHeight="1" x14ac:dyDescent="0.25">
      <c r="A75" s="620" t="s">
        <v>458</v>
      </c>
      <c r="B75" s="633"/>
      <c r="C75" s="633"/>
      <c r="D75" s="633"/>
      <c r="E75" s="633"/>
      <c r="F75" s="633"/>
      <c r="G75" s="633"/>
      <c r="H75" s="633"/>
      <c r="I75" s="633"/>
      <c r="J75" s="633"/>
      <c r="K75" s="633"/>
      <c r="L75" s="633"/>
      <c r="M75" s="633"/>
      <c r="N75" s="633"/>
      <c r="O75" s="633"/>
      <c r="P75" s="633"/>
      <c r="Q75" s="633"/>
      <c r="R75" s="633"/>
      <c r="S75" s="633"/>
      <c r="T75" s="633"/>
      <c r="U75" s="633"/>
      <c r="V75" s="620"/>
    </row>
    <row r="76" spans="1:22" s="297" customFormat="1" ht="12.75" customHeight="1" x14ac:dyDescent="0.25">
      <c r="A76" s="296"/>
      <c r="B76" s="261">
        <f>B3</f>
        <v>2020</v>
      </c>
      <c r="C76" s="261">
        <f t="shared" ref="C76:O76" si="12">C3</f>
        <v>2021</v>
      </c>
      <c r="D76" s="261">
        <f t="shared" si="12"/>
        <v>2022</v>
      </c>
      <c r="E76" s="261">
        <f t="shared" si="12"/>
        <v>2023</v>
      </c>
      <c r="F76" s="261">
        <f t="shared" si="12"/>
        <v>2024</v>
      </c>
      <c r="G76" s="261">
        <f t="shared" si="12"/>
        <v>2025</v>
      </c>
      <c r="H76" s="261">
        <f t="shared" si="12"/>
        <v>2026</v>
      </c>
      <c r="I76" s="261">
        <f t="shared" si="12"/>
        <v>2027</v>
      </c>
      <c r="J76" s="261">
        <f t="shared" si="12"/>
        <v>2028</v>
      </c>
      <c r="K76" s="261">
        <f t="shared" si="12"/>
        <v>2029</v>
      </c>
      <c r="L76" s="261">
        <f t="shared" si="12"/>
        <v>2030</v>
      </c>
      <c r="M76" s="261">
        <f t="shared" si="12"/>
        <v>2031</v>
      </c>
      <c r="N76" s="261">
        <f t="shared" si="12"/>
        <v>2032</v>
      </c>
      <c r="O76" s="261">
        <f t="shared" si="12"/>
        <v>2033</v>
      </c>
      <c r="P76" s="261">
        <f t="shared" ref="P76:U76" si="13">P3</f>
        <v>2034</v>
      </c>
      <c r="Q76" s="261">
        <f t="shared" si="13"/>
        <v>2035</v>
      </c>
      <c r="R76" s="261">
        <f t="shared" si="13"/>
        <v>2036</v>
      </c>
      <c r="S76" s="261">
        <f t="shared" si="13"/>
        <v>2037</v>
      </c>
      <c r="T76" s="261">
        <f t="shared" si="13"/>
        <v>2038</v>
      </c>
      <c r="U76" s="261">
        <f t="shared" si="13"/>
        <v>2039</v>
      </c>
      <c r="V76" s="613"/>
    </row>
    <row r="77" spans="1:22" s="297" customFormat="1" ht="12.75" customHeight="1" x14ac:dyDescent="0.25">
      <c r="A77" s="296"/>
      <c r="B77" s="261" t="str">
        <f>B64</f>
        <v>AUD.</v>
      </c>
      <c r="C77" s="261" t="str">
        <f t="shared" ref="C77:O77" si="14">C64</f>
        <v>AUD.</v>
      </c>
      <c r="D77" s="261" t="str">
        <f t="shared" si="14"/>
        <v>AUD.</v>
      </c>
      <c r="E77" s="261" t="str">
        <f t="shared" si="14"/>
        <v>EST.</v>
      </c>
      <c r="F77" s="261" t="str">
        <f t="shared" si="14"/>
        <v>PROJ.</v>
      </c>
      <c r="G77" s="261" t="str">
        <f t="shared" si="14"/>
        <v>PROJ.</v>
      </c>
      <c r="H77" s="261" t="str">
        <f t="shared" si="14"/>
        <v>PROJ.</v>
      </c>
      <c r="I77" s="261" t="str">
        <f t="shared" si="14"/>
        <v>PROJ.</v>
      </c>
      <c r="J77" s="261" t="str">
        <f t="shared" si="14"/>
        <v>PROJ.</v>
      </c>
      <c r="K77" s="261" t="str">
        <f t="shared" si="14"/>
        <v>PROJ.</v>
      </c>
      <c r="L77" s="261" t="str">
        <f t="shared" si="14"/>
        <v>PROJ.</v>
      </c>
      <c r="M77" s="261" t="str">
        <f t="shared" si="14"/>
        <v>PROJ.</v>
      </c>
      <c r="N77" s="261" t="str">
        <f t="shared" si="14"/>
        <v>PROJ.</v>
      </c>
      <c r="O77" s="261" t="str">
        <f t="shared" si="14"/>
        <v>PROJ.</v>
      </c>
      <c r="P77" s="261" t="str">
        <f t="shared" ref="P77:U77" si="15">P64</f>
        <v>PROJ.</v>
      </c>
      <c r="Q77" s="261" t="str">
        <f t="shared" si="15"/>
        <v>PROJ.</v>
      </c>
      <c r="R77" s="261" t="str">
        <f t="shared" si="15"/>
        <v>PROJ.</v>
      </c>
      <c r="S77" s="261" t="str">
        <f t="shared" si="15"/>
        <v>PROJ.</v>
      </c>
      <c r="T77" s="261" t="str">
        <f t="shared" si="15"/>
        <v>PROJ.</v>
      </c>
      <c r="U77" s="261" t="str">
        <f t="shared" si="15"/>
        <v>PROJ.</v>
      </c>
      <c r="V77" s="613"/>
    </row>
    <row r="78" spans="1:22" ht="25.5" customHeight="1" x14ac:dyDescent="0.2">
      <c r="A78" s="287" t="s">
        <v>454</v>
      </c>
      <c r="B78" s="256">
        <f>IF(ISERROR('Cash Flow'!B21),"",IF('Cash Flow'!B21=0,"",'Cash Flow'!B21))</f>
        <v>9.9999999999999978E-2</v>
      </c>
      <c r="C78" s="256">
        <f>IF(ISERROR('Cash Flow'!C21),"",IF('Cash Flow'!C21=0,"",'Cash Flow'!C21))</f>
        <v>9.9999999999999881E-3</v>
      </c>
      <c r="D78" s="256">
        <f>IF(ISERROR('Cash Flow'!D21),"",IF('Cash Flow'!D21=0,"",'Cash Flow'!D21))</f>
        <v>0.35000000000000026</v>
      </c>
      <c r="E78" s="256">
        <f>IF(ISERROR('Cash Flow'!E21),"",IF('Cash Flow'!E21=0,"",'Cash Flow'!E21))</f>
        <v>0.46999999999999975</v>
      </c>
      <c r="F78" s="256">
        <f>IF(ISERROR('Cash Flow'!F21),"",IF('Cash Flow'!F21=0,"",'Cash Flow'!F21))</f>
        <v>-1.6829999999999985</v>
      </c>
      <c r="G78" s="256">
        <f>IF(ISERROR('Cash Flow'!G21),"",IF('Cash Flow'!G21=0,"",'Cash Flow'!G21))</f>
        <v>3.3550868750000018</v>
      </c>
      <c r="H78" s="256">
        <f>IF(ISERROR('Cash Flow'!H21),"",IF('Cash Flow'!H21=0,"",'Cash Flow'!H21))</f>
        <v>2.4485998750000011</v>
      </c>
      <c r="I78" s="256">
        <f>IF(ISERROR('Cash Flow'!I21),"",IF('Cash Flow'!I21=0,"",'Cash Flow'!I21))</f>
        <v>2.6600795625</v>
      </c>
      <c r="J78" s="256">
        <f>IF(ISERROR('Cash Flow'!J21),"",IF('Cash Flow'!J21=0,"",'Cash Flow'!J21))</f>
        <v>2.8416108124999964</v>
      </c>
      <c r="K78" s="256">
        <f>IF(ISERROR('Cash Flow'!K21),"",IF('Cash Flow'!K21=0,"",'Cash Flow'!K21))</f>
        <v>2.9525398750000007</v>
      </c>
      <c r="L78" s="256">
        <f>IF(ISERROR('Cash Flow'!L21),"",IF('Cash Flow'!L21=0,"",'Cash Flow'!L21))</f>
        <v>3.2829059375000011</v>
      </c>
      <c r="M78" s="256">
        <f>IF(ISERROR('Cash Flow'!M21),"",IF('Cash Flow'!M21=0,"",'Cash Flow'!M21))</f>
        <v>14.206864062499999</v>
      </c>
      <c r="N78" s="256" t="str">
        <f>IF(ISERROR('Cash Flow'!N21),"",IF('Cash Flow'!N21=0,"",'Cash Flow'!N21))</f>
        <v/>
      </c>
      <c r="O78" s="256" t="str">
        <f>IF(ISERROR('Cash Flow'!O21),"",IF('Cash Flow'!O21=0,"",'Cash Flow'!O21))</f>
        <v/>
      </c>
      <c r="P78" s="256" t="str">
        <f>IF(ISERROR('Cash Flow'!P21),"",IF('Cash Flow'!P21=0,"",'Cash Flow'!P21))</f>
        <v/>
      </c>
      <c r="Q78" s="256" t="str">
        <f>IF(ISERROR('Cash Flow'!Q21),"",IF('Cash Flow'!Q21=0,"",'Cash Flow'!Q21))</f>
        <v/>
      </c>
      <c r="R78" s="256" t="str">
        <f>IF(ISERROR('Cash Flow'!R21),"",IF('Cash Flow'!R21=0,"",'Cash Flow'!R21))</f>
        <v/>
      </c>
      <c r="S78" s="256" t="str">
        <f>IF(ISERROR('Cash Flow'!S21),"",IF('Cash Flow'!S21=0,"",'Cash Flow'!S21))</f>
        <v/>
      </c>
      <c r="T78" s="256" t="str">
        <f>IF(ISERROR('Cash Flow'!T21),"",IF('Cash Flow'!T21=0,"",'Cash Flow'!T21))</f>
        <v/>
      </c>
      <c r="U78" s="256" t="str">
        <f>IF(ISERROR('Cash Flow'!U21),"",IF('Cash Flow'!U21=0,"",'Cash Flow'!U21))</f>
        <v/>
      </c>
      <c r="V78" s="612"/>
    </row>
    <row r="79" spans="1:22" ht="25.5" customHeight="1" x14ac:dyDescent="0.2">
      <c r="A79" s="287" t="s">
        <v>455</v>
      </c>
      <c r="B79" s="256" t="str">
        <f>IF(ISERROR('Cash Flow'!B32),"",IF('Cash Flow'!B32=0,"",'Cash Flow'!B32))</f>
        <v/>
      </c>
      <c r="C79" s="256">
        <f>IF(ISERROR('Cash Flow'!C32),"",IF('Cash Flow'!C32=0,"",'Cash Flow'!C32))</f>
        <v>-1.999999999999999E-2</v>
      </c>
      <c r="D79" s="256">
        <f>IF(ISERROR('Cash Flow'!D32),"",IF('Cash Flow'!D32=0,"",'Cash Flow'!D32))</f>
        <v>-4.1099999999999994</v>
      </c>
      <c r="E79" s="256">
        <f>IF(ISERROR('Cash Flow'!E32),"",IF('Cash Flow'!E32=0,"",'Cash Flow'!E32))</f>
        <v>-10.040000000000001</v>
      </c>
      <c r="F79" s="256">
        <f>IF(ISERROR('Cash Flow'!F32),"",IF('Cash Flow'!F32=0,"",'Cash Flow'!F32))</f>
        <v>-7.8600000000000012</v>
      </c>
      <c r="G79" s="256" t="str">
        <f>IF(ISERROR('Cash Flow'!G32),"",IF('Cash Flow'!G32=0,"",'Cash Flow'!G32))</f>
        <v/>
      </c>
      <c r="H79" s="256" t="str">
        <f>IF(ISERROR('Cash Flow'!H32),"",IF('Cash Flow'!H32=0,"",'Cash Flow'!H32))</f>
        <v/>
      </c>
      <c r="I79" s="256" t="str">
        <f>IF(ISERROR('Cash Flow'!I32),"",IF('Cash Flow'!I32=0,"",'Cash Flow'!I32))</f>
        <v/>
      </c>
      <c r="J79" s="256" t="str">
        <f>IF(ISERROR('Cash Flow'!J32),"",IF('Cash Flow'!J32=0,"",'Cash Flow'!J32))</f>
        <v/>
      </c>
      <c r="K79" s="256" t="str">
        <f>IF(ISERROR('Cash Flow'!K32),"",IF('Cash Flow'!K32=0,"",'Cash Flow'!K32))</f>
        <v/>
      </c>
      <c r="L79" s="256" t="str">
        <f>IF(ISERROR('Cash Flow'!L32),"",IF('Cash Flow'!L32=0,"",'Cash Flow'!L32))</f>
        <v/>
      </c>
      <c r="M79" s="256">
        <f>IF(ISERROR('Cash Flow'!M32),"",IF('Cash Flow'!M32=0,"",'Cash Flow'!M32))</f>
        <v>0.32</v>
      </c>
      <c r="N79" s="256" t="str">
        <f>IF(ISERROR('Cash Flow'!N32),"",IF('Cash Flow'!N32=0,"",'Cash Flow'!N32))</f>
        <v/>
      </c>
      <c r="O79" s="256" t="str">
        <f>IF(ISERROR('Cash Flow'!O32),"",IF('Cash Flow'!O32=0,"",'Cash Flow'!O32))</f>
        <v/>
      </c>
      <c r="P79" s="256">
        <f>IF(ISERROR('Cash Flow'!P32),"",IF('Cash Flow'!P32=0,"",'Cash Flow'!P32))</f>
        <v>21.71</v>
      </c>
      <c r="Q79" s="256" t="str">
        <f>IF(ISERROR('Cash Flow'!Q32),"",IF('Cash Flow'!Q32=0,"",'Cash Flow'!Q32))</f>
        <v/>
      </c>
      <c r="R79" s="256" t="str">
        <f>IF(ISERROR('Cash Flow'!R32),"",IF('Cash Flow'!R32=0,"",'Cash Flow'!R32))</f>
        <v/>
      </c>
      <c r="S79" s="256" t="str">
        <f>IF(ISERROR('Cash Flow'!S32),"",IF('Cash Flow'!S32=0,"",'Cash Flow'!S32))</f>
        <v/>
      </c>
      <c r="T79" s="256" t="str">
        <f>IF(ISERROR('Cash Flow'!T32),"",IF('Cash Flow'!T32=0,"",'Cash Flow'!T32))</f>
        <v/>
      </c>
      <c r="U79" s="256" t="str">
        <f>IF(ISERROR('Cash Flow'!U32),"",IF('Cash Flow'!U32=0,"",'Cash Flow'!U32))</f>
        <v/>
      </c>
      <c r="V79" s="612"/>
    </row>
    <row r="80" spans="1:22" ht="25.5" customHeight="1" x14ac:dyDescent="0.2">
      <c r="A80" s="287" t="s">
        <v>839</v>
      </c>
      <c r="B80" s="256" t="str">
        <f>IF(ISERROR('Cash Flow'!B43),"",IF('Cash Flow'!B43=0,"",'Cash Flow'!B43))</f>
        <v/>
      </c>
      <c r="C80" s="256">
        <f>IF(ISERROR('Cash Flow'!C43),"",IF('Cash Flow'!C43=0,"",'Cash Flow'!C43))</f>
        <v>7.9999999999999988E-2</v>
      </c>
      <c r="D80" s="256">
        <f>IF(ISERROR('Cash Flow'!D43),"",IF('Cash Flow'!D43=0,"",'Cash Flow'!D43))</f>
        <v>3.87</v>
      </c>
      <c r="E80" s="256">
        <f>IF(ISERROR('Cash Flow'!E43),"",IF('Cash Flow'!E43=0,"",'Cash Flow'!E43))</f>
        <v>9.5699999999999985</v>
      </c>
      <c r="F80" s="256">
        <f>IF(ISERROR('Cash Flow'!F43),"",IF('Cash Flow'!F43=0,"",'Cash Flow'!F43))</f>
        <v>10.040000000000001</v>
      </c>
      <c r="G80" s="256">
        <f>IF(ISERROR('Cash Flow'!G43),"",IF('Cash Flow'!G43=0,"",'Cash Flow'!G43))</f>
        <v>-3.2292749999999972</v>
      </c>
      <c r="H80" s="256">
        <f>IF(ISERROR('Cash Flow'!H43),"",IF('Cash Flow'!H43=0,"",'Cash Flow'!H43))</f>
        <v>-2.4251299999999913</v>
      </c>
      <c r="I80" s="256">
        <f>IF(ISERROR('Cash Flow'!I43),"",IF('Cash Flow'!I43=0,"",'Cash Flow'!I43))</f>
        <v>-2.6575325000000047</v>
      </c>
      <c r="J80" s="256">
        <f>IF(ISERROR('Cash Flow'!J43),"",IF('Cash Flow'!J43=0,"",'Cash Flow'!J43))</f>
        <v>-2.8413149999999971</v>
      </c>
      <c r="K80" s="256">
        <f>IF(ISERROR('Cash Flow'!K43),"",IF('Cash Flow'!K43=0,"",'Cash Flow'!K43))</f>
        <v>-2.9008500000000028</v>
      </c>
      <c r="L80" s="256">
        <f>IF(ISERROR('Cash Flow'!L43),"",IF('Cash Flow'!L43=0,"",'Cash Flow'!L43))</f>
        <v>-3.2881875000000118</v>
      </c>
      <c r="M80" s="256">
        <f>IF(ISERROR('Cash Flow'!M43),"",IF('Cash Flow'!M43=0,"",'Cash Flow'!M43))</f>
        <v>-12.12</v>
      </c>
      <c r="N80" s="256" t="str">
        <f>IF(ISERROR('Cash Flow'!N43),"",IF('Cash Flow'!N43=0,"",'Cash Flow'!N43))</f>
        <v/>
      </c>
      <c r="O80" s="256" t="str">
        <f>IF(ISERROR('Cash Flow'!O43),"",IF('Cash Flow'!O43=0,"",'Cash Flow'!O43))</f>
        <v/>
      </c>
      <c r="P80" s="256" t="str">
        <f>IF(ISERROR('Cash Flow'!P43),"",IF('Cash Flow'!P43=0,"",'Cash Flow'!P43))</f>
        <v/>
      </c>
      <c r="Q80" s="256" t="str">
        <f>IF(ISERROR('Cash Flow'!Q43),"",IF('Cash Flow'!Q43=0,"",'Cash Flow'!Q43))</f>
        <v/>
      </c>
      <c r="R80" s="256" t="str">
        <f>IF(ISERROR('Cash Flow'!R43),"",IF('Cash Flow'!R43=0,"",'Cash Flow'!R43))</f>
        <v/>
      </c>
      <c r="S80" s="256" t="str">
        <f>IF(ISERROR('Cash Flow'!S43),"",IF('Cash Flow'!S43=0,"",'Cash Flow'!S43))</f>
        <v/>
      </c>
      <c r="T80" s="256" t="str">
        <f>IF(ISERROR('Cash Flow'!T43),"",IF('Cash Flow'!T43=0,"",'Cash Flow'!T43))</f>
        <v/>
      </c>
      <c r="U80" s="256" t="str">
        <f>IF(ISERROR('Cash Flow'!U43),"",IF('Cash Flow'!U43=0,"",'Cash Flow'!U43))</f>
        <v/>
      </c>
      <c r="V80" s="612"/>
    </row>
    <row r="81" spans="1:22" s="304" customFormat="1" ht="18" customHeight="1" x14ac:dyDescent="0.25">
      <c r="A81" s="285" t="s">
        <v>485</v>
      </c>
      <c r="B81" s="281">
        <f>IF(ISERROR('Cash Flow'!B45),"",IF('Cash Flow'!B45=0,"",'Cash Flow'!B45))</f>
        <v>9.9999999999999978E-2</v>
      </c>
      <c r="C81" s="281">
        <f>IF(ISERROR('Cash Flow'!C45),"",IF('Cash Flow'!C45=0,"",'Cash Flow'!C45))</f>
        <v>6.9999999999999979E-2</v>
      </c>
      <c r="D81" s="281">
        <f>IF(ISERROR('Cash Flow'!D45),"",IF('Cash Flow'!D45=0,"",'Cash Flow'!D45))</f>
        <v>0.11000000000000076</v>
      </c>
      <c r="E81" s="281" t="str">
        <f>IF(ISERROR('Cash Flow'!E45),"",IF('Cash Flow'!E45=0,"",'Cash Flow'!E45))</f>
        <v/>
      </c>
      <c r="F81" s="281">
        <f>IF(ISERROR('Cash Flow'!F45),"",IF('Cash Flow'!F45=0,"",'Cash Flow'!F45))</f>
        <v>0.49700000000000166</v>
      </c>
      <c r="G81" s="281">
        <f>IF(ISERROR('Cash Flow'!G45),"",IF('Cash Flow'!G45=0,"",'Cash Flow'!G45))</f>
        <v>0.12581187500000457</v>
      </c>
      <c r="H81" s="281">
        <f>IF(ISERROR('Cash Flow'!H45),"",IF('Cash Flow'!H45=0,"",'Cash Flow'!H45))</f>
        <v>2.3469875000009743E-2</v>
      </c>
      <c r="I81" s="281">
        <f>IF(ISERROR('Cash Flow'!I45),"",IF('Cash Flow'!I45=0,"",'Cash Flow'!I45))</f>
        <v>2.5470624999952562E-3</v>
      </c>
      <c r="J81" s="281">
        <f>IF(ISERROR('Cash Flow'!J45),"",IF('Cash Flow'!J45=0,"",'Cash Flow'!J45))</f>
        <v>2.9581249999921511E-4</v>
      </c>
      <c r="K81" s="281">
        <f>IF(ISERROR('Cash Flow'!K45),"",IF('Cash Flow'!K45=0,"",'Cash Flow'!K45))</f>
        <v>5.1689874999997887E-2</v>
      </c>
      <c r="L81" s="281">
        <f>IF(ISERROR('Cash Flow'!L45),"",IF('Cash Flow'!L45=0,"",'Cash Flow'!L45))</f>
        <v>-5.2815625000106614E-3</v>
      </c>
      <c r="M81" s="281">
        <f>IF(ISERROR('Cash Flow'!M45),"",IF('Cash Flow'!M45=0,"",'Cash Flow'!M45))</f>
        <v>2.4068640625000004</v>
      </c>
      <c r="N81" s="281" t="str">
        <f>IF(ISERROR('Cash Flow'!N45),"",IF('Cash Flow'!N45=0,"",'Cash Flow'!N45))</f>
        <v/>
      </c>
      <c r="O81" s="281" t="str">
        <f>IF(ISERROR('Cash Flow'!O45),"",IF('Cash Flow'!O45=0,"",'Cash Flow'!O45))</f>
        <v/>
      </c>
      <c r="P81" s="281">
        <f>IF(ISERROR('Cash Flow'!P45),"",IF('Cash Flow'!P45=0,"",'Cash Flow'!P45))</f>
        <v>21.71</v>
      </c>
      <c r="Q81" s="281" t="str">
        <f>IF(ISERROR('Cash Flow'!Q45),"",IF('Cash Flow'!Q45=0,"",'Cash Flow'!Q45))</f>
        <v/>
      </c>
      <c r="R81" s="281" t="str">
        <f>IF(ISERROR('Cash Flow'!R45),"",IF('Cash Flow'!R45=0,"",'Cash Flow'!R45))</f>
        <v/>
      </c>
      <c r="S81" s="281" t="str">
        <f>IF(ISERROR('Cash Flow'!S45),"",IF('Cash Flow'!S45=0,"",'Cash Flow'!S45))</f>
        <v/>
      </c>
      <c r="T81" s="281" t="str">
        <f>IF(ISERROR('Cash Flow'!T45),"",IF('Cash Flow'!T45=0,"",'Cash Flow'!T45))</f>
        <v/>
      </c>
      <c r="U81" s="281" t="str">
        <f>IF(ISERROR('Cash Flow'!U45),"",IF('Cash Flow'!U45=0,"",'Cash Flow'!U45))</f>
        <v/>
      </c>
      <c r="V81" s="620"/>
    </row>
    <row r="82" spans="1:22" ht="13.5" customHeight="1" x14ac:dyDescent="0.25">
      <c r="A82" s="620" t="s">
        <v>459</v>
      </c>
      <c r="B82" s="610"/>
      <c r="C82" s="610"/>
      <c r="D82" s="610"/>
      <c r="E82" s="610"/>
      <c r="F82" s="610"/>
      <c r="G82" s="610"/>
      <c r="H82" s="610"/>
      <c r="I82" s="610"/>
      <c r="J82" s="610"/>
      <c r="K82" s="610"/>
      <c r="L82" s="610"/>
      <c r="M82" s="610"/>
      <c r="N82" s="610"/>
      <c r="O82" s="610"/>
      <c r="P82" s="610"/>
      <c r="Q82" s="610"/>
      <c r="R82" s="610"/>
      <c r="S82" s="610"/>
      <c r="T82" s="610"/>
      <c r="U82" s="610"/>
      <c r="V82" s="612"/>
    </row>
    <row r="83" spans="1:22" s="297" customFormat="1" ht="12.75" customHeight="1" x14ac:dyDescent="0.25">
      <c r="A83" s="296"/>
      <c r="B83" s="261">
        <f>B3</f>
        <v>2020</v>
      </c>
      <c r="C83" s="261">
        <f t="shared" ref="C83:O83" si="16">C3</f>
        <v>2021</v>
      </c>
      <c r="D83" s="261">
        <f t="shared" si="16"/>
        <v>2022</v>
      </c>
      <c r="E83" s="261">
        <f t="shared" si="16"/>
        <v>2023</v>
      </c>
      <c r="F83" s="261">
        <f t="shared" si="16"/>
        <v>2024</v>
      </c>
      <c r="G83" s="261">
        <f t="shared" si="16"/>
        <v>2025</v>
      </c>
      <c r="H83" s="261">
        <f t="shared" si="16"/>
        <v>2026</v>
      </c>
      <c r="I83" s="261">
        <f t="shared" si="16"/>
        <v>2027</v>
      </c>
      <c r="J83" s="261">
        <f t="shared" si="16"/>
        <v>2028</v>
      </c>
      <c r="K83" s="261">
        <f t="shared" si="16"/>
        <v>2029</v>
      </c>
      <c r="L83" s="261">
        <f t="shared" si="16"/>
        <v>2030</v>
      </c>
      <c r="M83" s="261">
        <f t="shared" si="16"/>
        <v>2031</v>
      </c>
      <c r="N83" s="261">
        <f t="shared" si="16"/>
        <v>2032</v>
      </c>
      <c r="O83" s="261">
        <f t="shared" si="16"/>
        <v>2033</v>
      </c>
      <c r="P83" s="261">
        <f t="shared" ref="P83:U83" si="17">P3</f>
        <v>2034</v>
      </c>
      <c r="Q83" s="261">
        <f t="shared" si="17"/>
        <v>2035</v>
      </c>
      <c r="R83" s="261">
        <f t="shared" si="17"/>
        <v>2036</v>
      </c>
      <c r="S83" s="261">
        <f t="shared" si="17"/>
        <v>2037</v>
      </c>
      <c r="T83" s="261">
        <f t="shared" si="17"/>
        <v>2038</v>
      </c>
      <c r="U83" s="261">
        <f t="shared" si="17"/>
        <v>2039</v>
      </c>
      <c r="V83" s="613"/>
    </row>
    <row r="84" spans="1:22" s="297" customFormat="1" ht="12.75" customHeight="1" x14ac:dyDescent="0.25">
      <c r="A84" s="296"/>
      <c r="B84" s="261" t="str">
        <f>B77</f>
        <v>AUD.</v>
      </c>
      <c r="C84" s="261" t="str">
        <f t="shared" ref="C84:O84" si="18">C77</f>
        <v>AUD.</v>
      </c>
      <c r="D84" s="261" t="str">
        <f t="shared" si="18"/>
        <v>AUD.</v>
      </c>
      <c r="E84" s="261" t="str">
        <f t="shared" si="18"/>
        <v>EST.</v>
      </c>
      <c r="F84" s="261" t="str">
        <f t="shared" si="18"/>
        <v>PROJ.</v>
      </c>
      <c r="G84" s="261" t="str">
        <f t="shared" si="18"/>
        <v>PROJ.</v>
      </c>
      <c r="H84" s="261" t="str">
        <f t="shared" si="18"/>
        <v>PROJ.</v>
      </c>
      <c r="I84" s="261" t="str">
        <f t="shared" si="18"/>
        <v>PROJ.</v>
      </c>
      <c r="J84" s="261" t="str">
        <f t="shared" si="18"/>
        <v>PROJ.</v>
      </c>
      <c r="K84" s="261" t="str">
        <f t="shared" si="18"/>
        <v>PROJ.</v>
      </c>
      <c r="L84" s="261" t="str">
        <f t="shared" si="18"/>
        <v>PROJ.</v>
      </c>
      <c r="M84" s="261" t="str">
        <f t="shared" si="18"/>
        <v>PROJ.</v>
      </c>
      <c r="N84" s="261" t="str">
        <f t="shared" si="18"/>
        <v>PROJ.</v>
      </c>
      <c r="O84" s="261" t="str">
        <f t="shared" si="18"/>
        <v>PROJ.</v>
      </c>
      <c r="P84" s="261" t="str">
        <f t="shared" ref="P84:U84" si="19">P77</f>
        <v>PROJ.</v>
      </c>
      <c r="Q84" s="261" t="str">
        <f t="shared" si="19"/>
        <v>PROJ.</v>
      </c>
      <c r="R84" s="261" t="str">
        <f t="shared" si="19"/>
        <v>PROJ.</v>
      </c>
      <c r="S84" s="261" t="str">
        <f t="shared" si="19"/>
        <v>PROJ.</v>
      </c>
      <c r="T84" s="261" t="str">
        <f t="shared" si="19"/>
        <v>PROJ.</v>
      </c>
      <c r="U84" s="261" t="str">
        <f t="shared" si="19"/>
        <v>PROJ.</v>
      </c>
      <c r="V84" s="613"/>
    </row>
    <row r="85" spans="1:22" x14ac:dyDescent="0.2">
      <c r="A85" s="287" t="s">
        <v>396</v>
      </c>
      <c r="B85" s="256">
        <f>B7</f>
        <v>0.8</v>
      </c>
      <c r="C85" s="256">
        <f t="shared" ref="C85:U85" si="20">C7</f>
        <v>1.05</v>
      </c>
      <c r="D85" s="256">
        <f t="shared" si="20"/>
        <v>2.2000000000000002</v>
      </c>
      <c r="E85" s="256">
        <f t="shared" si="20"/>
        <v>4</v>
      </c>
      <c r="F85" s="256">
        <f t="shared" si="20"/>
        <v>20</v>
      </c>
      <c r="G85" s="256">
        <f t="shared" si="20"/>
        <v>34.28</v>
      </c>
      <c r="H85" s="256">
        <f t="shared" si="20"/>
        <v>40.42</v>
      </c>
      <c r="I85" s="256">
        <f t="shared" si="20"/>
        <v>44.09</v>
      </c>
      <c r="J85" s="256">
        <f t="shared" si="20"/>
        <v>47.96</v>
      </c>
      <c r="K85" s="256">
        <f t="shared" si="20"/>
        <v>52.03</v>
      </c>
      <c r="L85" s="256">
        <f t="shared" si="20"/>
        <v>56.2</v>
      </c>
      <c r="M85" s="256" t="str">
        <f t="shared" si="20"/>
        <v/>
      </c>
      <c r="N85" s="256" t="str">
        <f t="shared" si="20"/>
        <v/>
      </c>
      <c r="O85" s="256" t="str">
        <f t="shared" si="20"/>
        <v/>
      </c>
      <c r="P85" s="256" t="str">
        <f t="shared" si="20"/>
        <v/>
      </c>
      <c r="Q85" s="256" t="str">
        <f t="shared" si="20"/>
        <v/>
      </c>
      <c r="R85" s="256" t="str">
        <f t="shared" si="20"/>
        <v/>
      </c>
      <c r="S85" s="256" t="str">
        <f t="shared" si="20"/>
        <v/>
      </c>
      <c r="T85" s="256" t="str">
        <f t="shared" si="20"/>
        <v/>
      </c>
      <c r="U85" s="256" t="str">
        <f t="shared" si="20"/>
        <v/>
      </c>
      <c r="V85" s="612"/>
    </row>
    <row r="86" spans="1:22" x14ac:dyDescent="0.2">
      <c r="A86" s="287" t="s">
        <v>45</v>
      </c>
      <c r="B86" s="256">
        <f>B29</f>
        <v>9.9999999999999978E-2</v>
      </c>
      <c r="C86" s="256">
        <f t="shared" ref="C86:U86" si="21">C29</f>
        <v>0.13</v>
      </c>
      <c r="D86" s="256">
        <f t="shared" si="21"/>
        <v>0.38000000000000017</v>
      </c>
      <c r="E86" s="256">
        <f t="shared" si="21"/>
        <v>0.30999999999999983</v>
      </c>
      <c r="F86" s="256">
        <f t="shared" si="21"/>
        <v>0.80000000000000038</v>
      </c>
      <c r="G86" s="256">
        <f t="shared" si="21"/>
        <v>1.7107250000000023</v>
      </c>
      <c r="H86" s="256">
        <f t="shared" si="21"/>
        <v>2.3248700000000015</v>
      </c>
      <c r="I86" s="256">
        <f t="shared" si="21"/>
        <v>2.6024674999999999</v>
      </c>
      <c r="J86" s="256">
        <f t="shared" si="21"/>
        <v>2.8586849999999941</v>
      </c>
      <c r="K86" s="256">
        <f t="shared" si="21"/>
        <v>3.169150000000001</v>
      </c>
      <c r="L86" s="256">
        <f t="shared" si="21"/>
        <v>3.6418124999999986</v>
      </c>
      <c r="M86" s="256" t="str">
        <f t="shared" si="21"/>
        <v/>
      </c>
      <c r="N86" s="256" t="str">
        <f t="shared" si="21"/>
        <v/>
      </c>
      <c r="O86" s="256" t="str">
        <f t="shared" si="21"/>
        <v/>
      </c>
      <c r="P86" s="256" t="str">
        <f t="shared" si="21"/>
        <v/>
      </c>
      <c r="Q86" s="256" t="str">
        <f t="shared" si="21"/>
        <v/>
      </c>
      <c r="R86" s="256" t="str">
        <f t="shared" si="21"/>
        <v/>
      </c>
      <c r="S86" s="256" t="str">
        <f t="shared" si="21"/>
        <v/>
      </c>
      <c r="T86" s="256" t="str">
        <f t="shared" si="21"/>
        <v/>
      </c>
      <c r="U86" s="256" t="str">
        <f t="shared" si="21"/>
        <v/>
      </c>
      <c r="V86" s="612"/>
    </row>
    <row r="87" spans="1:22" x14ac:dyDescent="0.2">
      <c r="A87" s="287" t="s">
        <v>35</v>
      </c>
      <c r="B87" s="256">
        <f>B33</f>
        <v>6.9999999999999979E-2</v>
      </c>
      <c r="C87" s="256">
        <f t="shared" ref="C87:U87" si="22">C33</f>
        <v>0.09</v>
      </c>
      <c r="D87" s="256">
        <f t="shared" si="22"/>
        <v>0.27000000000000018</v>
      </c>
      <c r="E87" s="256">
        <f t="shared" si="22"/>
        <v>0.21699999999999989</v>
      </c>
      <c r="F87" s="256">
        <f t="shared" si="22"/>
        <v>0.56000000000000028</v>
      </c>
      <c r="G87" s="256">
        <f t="shared" si="22"/>
        <v>1.1975075000000017</v>
      </c>
      <c r="H87" s="256">
        <f t="shared" si="22"/>
        <v>1.627409000000001</v>
      </c>
      <c r="I87" s="256">
        <f t="shared" si="22"/>
        <v>1.8217272499999999</v>
      </c>
      <c r="J87" s="256">
        <f t="shared" si="22"/>
        <v>2.0010794999999959</v>
      </c>
      <c r="K87" s="256">
        <f t="shared" si="22"/>
        <v>2.2184050000000006</v>
      </c>
      <c r="L87" s="256">
        <f t="shared" si="22"/>
        <v>2.5492687499999991</v>
      </c>
      <c r="M87" s="256" t="str">
        <f t="shared" si="22"/>
        <v/>
      </c>
      <c r="N87" s="256" t="str">
        <f t="shared" si="22"/>
        <v/>
      </c>
      <c r="O87" s="256" t="str">
        <f t="shared" si="22"/>
        <v/>
      </c>
      <c r="P87" s="256" t="str">
        <f t="shared" si="22"/>
        <v/>
      </c>
      <c r="Q87" s="256" t="str">
        <f t="shared" si="22"/>
        <v/>
      </c>
      <c r="R87" s="256" t="str">
        <f t="shared" si="22"/>
        <v/>
      </c>
      <c r="S87" s="256" t="str">
        <f t="shared" si="22"/>
        <v/>
      </c>
      <c r="T87" s="256" t="str">
        <f t="shared" si="22"/>
        <v/>
      </c>
      <c r="U87" s="256" t="str">
        <f t="shared" si="22"/>
        <v/>
      </c>
      <c r="V87" s="612"/>
    </row>
    <row r="88" spans="1:22" x14ac:dyDescent="0.2">
      <c r="A88" s="287" t="s">
        <v>47</v>
      </c>
      <c r="B88" s="256">
        <f>B35</f>
        <v>9.9999999999999978E-2</v>
      </c>
      <c r="C88" s="256">
        <f t="shared" ref="C88:U88" si="23">C35</f>
        <v>0.11</v>
      </c>
      <c r="D88" s="256">
        <f t="shared" si="23"/>
        <v>0.2900000000000002</v>
      </c>
      <c r="E88" s="256">
        <f t="shared" si="23"/>
        <v>0.23699999999999988</v>
      </c>
      <c r="F88" s="256">
        <f t="shared" si="23"/>
        <v>2.1500000000000004</v>
      </c>
      <c r="G88" s="256">
        <f t="shared" si="23"/>
        <v>3.6975075000000017</v>
      </c>
      <c r="H88" s="256">
        <f t="shared" si="23"/>
        <v>3.8074090000000012</v>
      </c>
      <c r="I88" s="256">
        <f t="shared" si="23"/>
        <v>3.7217272499999998</v>
      </c>
      <c r="J88" s="256">
        <f t="shared" si="23"/>
        <v>3.6610794999999956</v>
      </c>
      <c r="K88" s="256">
        <f t="shared" si="23"/>
        <v>3.6484050000000003</v>
      </c>
      <c r="L88" s="256">
        <f t="shared" si="23"/>
        <v>3.7892687499999989</v>
      </c>
      <c r="M88" s="256" t="str">
        <f t="shared" si="23"/>
        <v/>
      </c>
      <c r="N88" s="256" t="str">
        <f t="shared" si="23"/>
        <v/>
      </c>
      <c r="O88" s="256" t="str">
        <f t="shared" si="23"/>
        <v/>
      </c>
      <c r="P88" s="256" t="str">
        <f t="shared" si="23"/>
        <v/>
      </c>
      <c r="Q88" s="256" t="str">
        <f t="shared" si="23"/>
        <v/>
      </c>
      <c r="R88" s="256" t="str">
        <f t="shared" si="23"/>
        <v/>
      </c>
      <c r="S88" s="256" t="str">
        <f t="shared" si="23"/>
        <v/>
      </c>
      <c r="T88" s="256" t="str">
        <f t="shared" si="23"/>
        <v/>
      </c>
      <c r="U88" s="256" t="str">
        <f t="shared" si="23"/>
        <v/>
      </c>
      <c r="V88" s="612"/>
    </row>
    <row r="89" spans="1:22" x14ac:dyDescent="0.2">
      <c r="A89" s="287" t="s">
        <v>49</v>
      </c>
      <c r="B89" s="256">
        <f>B41</f>
        <v>0.01</v>
      </c>
      <c r="C89" s="256">
        <f t="shared" ref="C89:U89" si="24">C41</f>
        <v>0.01</v>
      </c>
      <c r="D89" s="256">
        <f t="shared" si="24"/>
        <v>0.01</v>
      </c>
      <c r="E89" s="256">
        <f t="shared" si="24"/>
        <v>8</v>
      </c>
      <c r="F89" s="256">
        <f t="shared" si="24"/>
        <v>10.119999999999999</v>
      </c>
      <c r="G89" s="256">
        <f t="shared" si="24"/>
        <v>10.119999999999999</v>
      </c>
      <c r="H89" s="256">
        <f t="shared" si="24"/>
        <v>10.119999999999999</v>
      </c>
      <c r="I89" s="256">
        <f t="shared" si="24"/>
        <v>10.119999999999999</v>
      </c>
      <c r="J89" s="256">
        <f t="shared" si="24"/>
        <v>10.119999999999999</v>
      </c>
      <c r="K89" s="256">
        <f t="shared" si="24"/>
        <v>10.119999999999999</v>
      </c>
      <c r="L89" s="256">
        <f t="shared" si="24"/>
        <v>10.119999999999999</v>
      </c>
      <c r="M89" s="256" t="str">
        <f t="shared" si="24"/>
        <v/>
      </c>
      <c r="N89" s="256" t="str">
        <f t="shared" si="24"/>
        <v/>
      </c>
      <c r="O89" s="256" t="str">
        <f t="shared" si="24"/>
        <v/>
      </c>
      <c r="P89" s="256" t="str">
        <f t="shared" si="24"/>
        <v/>
      </c>
      <c r="Q89" s="256" t="str">
        <f t="shared" si="24"/>
        <v/>
      </c>
      <c r="R89" s="256" t="str">
        <f t="shared" si="24"/>
        <v/>
      </c>
      <c r="S89" s="256" t="str">
        <f t="shared" si="24"/>
        <v/>
      </c>
      <c r="T89" s="256" t="str">
        <f t="shared" si="24"/>
        <v/>
      </c>
      <c r="U89" s="256" t="str">
        <f t="shared" si="24"/>
        <v/>
      </c>
      <c r="V89" s="612"/>
    </row>
    <row r="90" spans="1:22" x14ac:dyDescent="0.2">
      <c r="A90" s="287" t="s">
        <v>50</v>
      </c>
      <c r="B90" s="256">
        <f>B43</f>
        <v>7.9999999999999974E-2</v>
      </c>
      <c r="C90" s="256">
        <f t="shared" ref="C90:U90" si="25">C43</f>
        <v>0.16999999999999998</v>
      </c>
      <c r="D90" s="256">
        <f t="shared" si="25"/>
        <v>0.44000000000000017</v>
      </c>
      <c r="E90" s="256">
        <f t="shared" si="25"/>
        <v>8.5670000000000002</v>
      </c>
      <c r="F90" s="256">
        <f t="shared" si="25"/>
        <v>11.247</v>
      </c>
      <c r="G90" s="256">
        <f t="shared" si="25"/>
        <v>12.464507500000002</v>
      </c>
      <c r="H90" s="256">
        <f t="shared" si="25"/>
        <v>14.111916500000003</v>
      </c>
      <c r="I90" s="256">
        <f t="shared" si="25"/>
        <v>15.953643750000003</v>
      </c>
      <c r="J90" s="256">
        <f t="shared" si="25"/>
        <v>17.974723249999997</v>
      </c>
      <c r="K90" s="256">
        <f t="shared" si="25"/>
        <v>20.193128250000001</v>
      </c>
      <c r="L90" s="256">
        <f t="shared" si="25"/>
        <v>22.742396999999997</v>
      </c>
      <c r="M90" s="256">
        <f t="shared" si="25"/>
        <v>12.622396999999999</v>
      </c>
      <c r="N90" s="256">
        <f t="shared" si="25"/>
        <v>12.622396999999999</v>
      </c>
      <c r="O90" s="256">
        <f t="shared" si="25"/>
        <v>12.622396999999999</v>
      </c>
      <c r="P90" s="256">
        <f t="shared" si="25"/>
        <v>12.622396999999999</v>
      </c>
      <c r="Q90" s="256">
        <f t="shared" si="25"/>
        <v>12.622396999999999</v>
      </c>
      <c r="R90" s="256">
        <f t="shared" si="25"/>
        <v>12.622396999999999</v>
      </c>
      <c r="S90" s="256">
        <f t="shared" si="25"/>
        <v>12.622396999999999</v>
      </c>
      <c r="T90" s="256">
        <f t="shared" si="25"/>
        <v>12.622396999999999</v>
      </c>
      <c r="U90" s="256">
        <f t="shared" si="25"/>
        <v>12.622396999999999</v>
      </c>
      <c r="V90" s="612"/>
    </row>
    <row r="91" spans="1:22" x14ac:dyDescent="0.2">
      <c r="A91" s="287" t="s">
        <v>20</v>
      </c>
      <c r="B91" s="256">
        <f>B47</f>
        <v>2.5000000000000009</v>
      </c>
      <c r="C91" s="256">
        <f t="shared" ref="C91:U91" si="26">C47</f>
        <v>1.5882352941176474</v>
      </c>
      <c r="D91" s="256">
        <f t="shared" si="26"/>
        <v>10.02272727272727</v>
      </c>
      <c r="E91" s="256">
        <f t="shared" si="26"/>
        <v>0.77074821991362197</v>
      </c>
      <c r="F91" s="256">
        <f t="shared" si="26"/>
        <v>1.3763670312083223</v>
      </c>
      <c r="G91" s="256">
        <f t="shared" si="26"/>
        <v>1.2012682811575188</v>
      </c>
      <c r="H91" s="256">
        <f t="shared" si="26"/>
        <v>0.97133943500870412</v>
      </c>
      <c r="I91" s="256">
        <f t="shared" si="26"/>
        <v>0.71900441239325075</v>
      </c>
      <c r="J91" s="256">
        <f t="shared" si="26"/>
        <v>0.50891495645141649</v>
      </c>
      <c r="K91" s="256">
        <f t="shared" si="26"/>
        <v>0.32638553662432224</v>
      </c>
      <c r="L91" s="256">
        <f t="shared" si="26"/>
        <v>0.1535697292594092</v>
      </c>
      <c r="M91" s="256" t="str">
        <f t="shared" si="26"/>
        <v/>
      </c>
      <c r="N91" s="256" t="str">
        <f t="shared" si="26"/>
        <v/>
      </c>
      <c r="O91" s="256" t="str">
        <f t="shared" si="26"/>
        <v/>
      </c>
      <c r="P91" s="256" t="str">
        <f t="shared" si="26"/>
        <v/>
      </c>
      <c r="Q91" s="256" t="str">
        <f t="shared" si="26"/>
        <v/>
      </c>
      <c r="R91" s="256" t="str">
        <f t="shared" si="26"/>
        <v/>
      </c>
      <c r="S91" s="256" t="str">
        <f t="shared" si="26"/>
        <v/>
      </c>
      <c r="T91" s="256" t="str">
        <f t="shared" si="26"/>
        <v/>
      </c>
      <c r="U91" s="256" t="str">
        <f t="shared" si="26"/>
        <v/>
      </c>
      <c r="V91" s="612"/>
    </row>
    <row r="92" spans="1:22" x14ac:dyDescent="0.2">
      <c r="A92" s="287" t="s">
        <v>51</v>
      </c>
      <c r="B92" s="256">
        <f>B49</f>
        <v>2.5000000000000009</v>
      </c>
      <c r="C92" s="256">
        <f t="shared" ref="C92:U92" si="27">C49</f>
        <v>1.5882352941176474</v>
      </c>
      <c r="D92" s="256">
        <f t="shared" si="27"/>
        <v>10.02272727272727</v>
      </c>
      <c r="E92" s="256">
        <f t="shared" si="27"/>
        <v>0.77074821991362197</v>
      </c>
      <c r="F92" s="256">
        <f t="shared" si="27"/>
        <v>1.3763670312083223</v>
      </c>
      <c r="G92" s="256">
        <f t="shared" si="27"/>
        <v>1.2012682811575188</v>
      </c>
      <c r="H92" s="256">
        <f t="shared" si="27"/>
        <v>0.97133943500870412</v>
      </c>
      <c r="I92" s="256">
        <f t="shared" si="27"/>
        <v>0.71900441239325075</v>
      </c>
      <c r="J92" s="256">
        <f t="shared" si="27"/>
        <v>0.50891495645141649</v>
      </c>
      <c r="K92" s="256">
        <f t="shared" si="27"/>
        <v>0.32638553662432224</v>
      </c>
      <c r="L92" s="256">
        <f t="shared" si="27"/>
        <v>0.1535697292594092</v>
      </c>
      <c r="M92" s="256" t="str">
        <f t="shared" si="27"/>
        <v/>
      </c>
      <c r="N92" s="256" t="str">
        <f t="shared" si="27"/>
        <v/>
      </c>
      <c r="O92" s="256" t="str">
        <f t="shared" si="27"/>
        <v/>
      </c>
      <c r="P92" s="256" t="str">
        <f t="shared" si="27"/>
        <v/>
      </c>
      <c r="Q92" s="256" t="str">
        <f t="shared" si="27"/>
        <v/>
      </c>
      <c r="R92" s="256" t="str">
        <f t="shared" si="27"/>
        <v/>
      </c>
      <c r="S92" s="256" t="str">
        <f t="shared" si="27"/>
        <v/>
      </c>
      <c r="T92" s="256" t="str">
        <f t="shared" si="27"/>
        <v/>
      </c>
      <c r="U92" s="256" t="str">
        <f t="shared" si="27"/>
        <v/>
      </c>
      <c r="V92" s="612"/>
    </row>
    <row r="93" spans="1:22" ht="13.5" customHeight="1" x14ac:dyDescent="0.25">
      <c r="A93" s="620" t="s">
        <v>918</v>
      </c>
      <c r="B93" s="610"/>
      <c r="C93" s="610"/>
      <c r="D93" s="610"/>
      <c r="E93" s="610"/>
      <c r="F93" s="610"/>
      <c r="G93" s="610"/>
      <c r="H93" s="610"/>
      <c r="I93" s="610"/>
      <c r="J93" s="610"/>
      <c r="K93" s="610"/>
      <c r="L93" s="610"/>
      <c r="M93" s="610"/>
      <c r="N93" s="610"/>
      <c r="O93" s="610"/>
      <c r="P93" s="610"/>
      <c r="Q93" s="610"/>
      <c r="R93" s="610"/>
      <c r="S93" s="610"/>
      <c r="T93" s="610"/>
      <c r="U93" s="610"/>
      <c r="V93" s="612"/>
    </row>
    <row r="94" spans="1:22" s="797" customFormat="1" ht="17.25" customHeight="1" x14ac:dyDescent="0.2">
      <c r="A94" s="794" t="s">
        <v>652</v>
      </c>
      <c r="B94" s="795">
        <f>IF(ISERROR(DSCR!B31+100%),"",IF((DSCR!B31+100%)=0,"",DSCR!B31+100%))</f>
        <v>2</v>
      </c>
      <c r="C94" s="795">
        <f>IF(ISERROR(DSCR!C31+100%),"",IF((DSCR!C31+100%)=0,"",DSCR!C31+100%))</f>
        <v>2</v>
      </c>
      <c r="D94" s="795">
        <f>IF(ISERROR(DSCR!D31+100%),"",IF((DSCR!D31+100%)=0,"",DSCR!D31+100%))</f>
        <v>1.2781954887218046</v>
      </c>
      <c r="E94" s="795">
        <f>IF(ISERROR(DSCR!E31+100%),"",IF((DSCR!E31+100%)=0,"",DSCR!E31+100%))</f>
        <v>1.5092667203867849</v>
      </c>
      <c r="F94" s="795">
        <f>IF(ISERROR(DSCR!F31+100%),"",IF((DSCR!F31+100%)=0,"",DSCR!F31+100%))</f>
        <v>1.3556109725685785</v>
      </c>
      <c r="G94" s="795">
        <f>IF(ISERROR(DSCR!G31+100%),"",IF((DSCR!G31+100%)=0,"",DSCR!G31+100%))</f>
        <v>1.3830392714854864</v>
      </c>
      <c r="H94" s="795">
        <f>IF(ISERROR(DSCR!H31+100%),"",IF((DSCR!H31+100%)=0,"",DSCR!H31+100%))</f>
        <v>1.391304347826086</v>
      </c>
      <c r="I94" s="795">
        <f>IF(ISERROR(DSCR!I31+100%),"",IF((DSCR!I31+100%)=0,"",DSCR!I31+100%))</f>
        <v>1.4412416851441234</v>
      </c>
      <c r="J94" s="795">
        <f>IF(ISERROR(DSCR!J31+100%),"",IF((DSCR!J31+100%)=0,"",DSCR!J31+100%))</f>
        <v>1.5458368376787206</v>
      </c>
      <c r="K94" s="795">
        <f>IF(ISERROR(DSCR!K31+100%),"",IF((DSCR!K31+100%)=0,"",DSCR!K31+100%))</f>
        <v>1.7131931166347982</v>
      </c>
      <c r="L94" s="795">
        <f>IF(ISERROR(DSCR!L31+100%),"",IF((DSCR!L31+100%)=0,"",DSCR!L31+100%))</f>
        <v>2</v>
      </c>
      <c r="M94" s="795">
        <f>IF(ISERROR(DSCR!M31+100%),"",IF((DSCR!M31+100%)=0,"",DSCR!M31+100%))</f>
        <v>2</v>
      </c>
      <c r="N94" s="795">
        <f>IF(ISERROR(DSCR!N31+100%),"",IF((DSCR!N31+100%)=0,"",DSCR!N31+100%))</f>
        <v>2</v>
      </c>
      <c r="O94" s="795">
        <f>IF(ISERROR(DSCR!O31+100%),"",IF((DSCR!O31+100%)=0,"",DSCR!O31+100%))</f>
        <v>2</v>
      </c>
      <c r="P94" s="795">
        <f>IF(ISERROR(DSCR!P31+100%),"",IF((DSCR!P31+100%)=0,"",DSCR!P31+100%))</f>
        <v>2</v>
      </c>
      <c r="Q94" s="795">
        <f>IF(ISERROR(DSCR!Q31+100%),"",IF((DSCR!Q31+100%)=0,"",DSCR!Q31+100%))</f>
        <v>2</v>
      </c>
      <c r="R94" s="795">
        <f>IF(ISERROR(DSCR!R31+100%),"",IF((DSCR!R31+100%)=0,"",DSCR!R31+100%))</f>
        <v>2</v>
      </c>
      <c r="S94" s="795">
        <f>IF(ISERROR(DSCR!S31+100%),"",IF((DSCR!S31+100%)=0,"",DSCR!S31+100%))</f>
        <v>2</v>
      </c>
      <c r="T94" s="795">
        <f>IF(ISERROR(DSCR!T31+100%),"",IF((DSCR!T31+100%)=0,"",DSCR!T31+100%))</f>
        <v>2</v>
      </c>
      <c r="U94" s="795">
        <f>IF(ISERROR(DSCR!U31+100%),"",IF((DSCR!U31+100%)=0,"",DSCR!U31+100%))</f>
        <v>2</v>
      </c>
      <c r="V94" s="796"/>
    </row>
    <row r="95" spans="1:22" ht="12.75" customHeight="1" x14ac:dyDescent="0.25">
      <c r="A95" s="631" t="s">
        <v>460</v>
      </c>
      <c r="B95" s="610"/>
      <c r="C95" s="610"/>
      <c r="D95" s="610"/>
      <c r="E95" s="610"/>
      <c r="F95" s="610"/>
      <c r="G95" s="610"/>
      <c r="H95" s="610"/>
      <c r="I95" s="610"/>
      <c r="J95" s="610"/>
      <c r="K95" s="610"/>
      <c r="L95" s="610"/>
      <c r="M95" s="610"/>
      <c r="N95" s="610"/>
      <c r="O95" s="610"/>
      <c r="P95" s="610"/>
      <c r="Q95" s="610"/>
      <c r="R95" s="610"/>
      <c r="S95" s="610"/>
      <c r="T95" s="610"/>
      <c r="U95" s="610"/>
      <c r="V95" s="612"/>
    </row>
    <row r="96" spans="1:22" ht="12.75" customHeight="1" x14ac:dyDescent="0.25">
      <c r="A96" s="632" t="s">
        <v>461</v>
      </c>
      <c r="B96" s="610"/>
      <c r="C96" s="610"/>
      <c r="D96" s="610"/>
      <c r="E96" s="610"/>
      <c r="F96" s="610"/>
      <c r="G96" s="610"/>
      <c r="H96" s="610"/>
      <c r="I96" s="610"/>
      <c r="J96" s="610"/>
      <c r="K96" s="610"/>
      <c r="L96" s="610"/>
      <c r="M96" s="610"/>
      <c r="N96" s="610"/>
      <c r="O96" s="610"/>
      <c r="P96" s="610"/>
      <c r="Q96" s="610"/>
      <c r="R96" s="610"/>
      <c r="S96" s="610"/>
      <c r="T96" s="610"/>
      <c r="U96" s="610"/>
      <c r="V96" s="612"/>
    </row>
    <row r="97" spans="1:22" s="297" customFormat="1" ht="12.75" customHeight="1" x14ac:dyDescent="0.25">
      <c r="A97" s="296"/>
      <c r="B97" s="261">
        <f>B3</f>
        <v>2020</v>
      </c>
      <c r="C97" s="261">
        <f t="shared" ref="C97:O97" si="28">C3</f>
        <v>2021</v>
      </c>
      <c r="D97" s="261">
        <f t="shared" si="28"/>
        <v>2022</v>
      </c>
      <c r="E97" s="261">
        <f t="shared" si="28"/>
        <v>2023</v>
      </c>
      <c r="F97" s="261">
        <f t="shared" si="28"/>
        <v>2024</v>
      </c>
      <c r="G97" s="261">
        <f t="shared" si="28"/>
        <v>2025</v>
      </c>
      <c r="H97" s="261">
        <f t="shared" si="28"/>
        <v>2026</v>
      </c>
      <c r="I97" s="261">
        <f t="shared" si="28"/>
        <v>2027</v>
      </c>
      <c r="J97" s="261">
        <f t="shared" si="28"/>
        <v>2028</v>
      </c>
      <c r="K97" s="261">
        <f t="shared" si="28"/>
        <v>2029</v>
      </c>
      <c r="L97" s="261">
        <f t="shared" si="28"/>
        <v>2030</v>
      </c>
      <c r="M97" s="261">
        <f t="shared" si="28"/>
        <v>2031</v>
      </c>
      <c r="N97" s="261">
        <f t="shared" si="28"/>
        <v>2032</v>
      </c>
      <c r="O97" s="261">
        <f t="shared" si="28"/>
        <v>2033</v>
      </c>
      <c r="P97" s="261">
        <f t="shared" ref="P97:U97" si="29">P3</f>
        <v>2034</v>
      </c>
      <c r="Q97" s="261">
        <f t="shared" si="29"/>
        <v>2035</v>
      </c>
      <c r="R97" s="261">
        <f t="shared" si="29"/>
        <v>2036</v>
      </c>
      <c r="S97" s="261">
        <f t="shared" si="29"/>
        <v>2037</v>
      </c>
      <c r="T97" s="261">
        <f t="shared" si="29"/>
        <v>2038</v>
      </c>
      <c r="U97" s="261">
        <f t="shared" si="29"/>
        <v>2039</v>
      </c>
      <c r="V97" s="613"/>
    </row>
    <row r="98" spans="1:22" s="297" customFormat="1" ht="12.75" customHeight="1" x14ac:dyDescent="0.25">
      <c r="A98" s="298"/>
      <c r="B98" s="299" t="str">
        <f>B84</f>
        <v>AUD.</v>
      </c>
      <c r="C98" s="261" t="str">
        <f t="shared" ref="C98:O98" si="30">C84</f>
        <v>AUD.</v>
      </c>
      <c r="D98" s="261" t="str">
        <f t="shared" si="30"/>
        <v>AUD.</v>
      </c>
      <c r="E98" s="261" t="str">
        <f t="shared" si="30"/>
        <v>EST.</v>
      </c>
      <c r="F98" s="261" t="str">
        <f t="shared" si="30"/>
        <v>PROJ.</v>
      </c>
      <c r="G98" s="261" t="str">
        <f t="shared" si="30"/>
        <v>PROJ.</v>
      </c>
      <c r="H98" s="261" t="str">
        <f t="shared" si="30"/>
        <v>PROJ.</v>
      </c>
      <c r="I98" s="261" t="str">
        <f t="shared" si="30"/>
        <v>PROJ.</v>
      </c>
      <c r="J98" s="261" t="str">
        <f t="shared" si="30"/>
        <v>PROJ.</v>
      </c>
      <c r="K98" s="261" t="str">
        <f t="shared" si="30"/>
        <v>PROJ.</v>
      </c>
      <c r="L98" s="261" t="str">
        <f t="shared" si="30"/>
        <v>PROJ.</v>
      </c>
      <c r="M98" s="261" t="str">
        <f t="shared" si="30"/>
        <v>PROJ.</v>
      </c>
      <c r="N98" s="261" t="str">
        <f t="shared" si="30"/>
        <v>PROJ.</v>
      </c>
      <c r="O98" s="261" t="str">
        <f t="shared" si="30"/>
        <v>PROJ.</v>
      </c>
      <c r="P98" s="261" t="str">
        <f t="shared" ref="P98:U98" si="31">P84</f>
        <v>PROJ.</v>
      </c>
      <c r="Q98" s="261" t="str">
        <f t="shared" si="31"/>
        <v>PROJ.</v>
      </c>
      <c r="R98" s="261" t="str">
        <f t="shared" si="31"/>
        <v>PROJ.</v>
      </c>
      <c r="S98" s="261" t="str">
        <f t="shared" si="31"/>
        <v>PROJ.</v>
      </c>
      <c r="T98" s="261" t="str">
        <f t="shared" si="31"/>
        <v>PROJ.</v>
      </c>
      <c r="U98" s="261" t="str">
        <f t="shared" si="31"/>
        <v>PROJ.</v>
      </c>
      <c r="V98" s="613"/>
    </row>
    <row r="99" spans="1:22" s="75" customFormat="1" ht="12" customHeight="1" x14ac:dyDescent="0.2">
      <c r="A99" s="308" t="s">
        <v>396</v>
      </c>
      <c r="B99" s="290">
        <f>B7</f>
        <v>0.8</v>
      </c>
      <c r="C99" s="290">
        <f t="shared" ref="C99:U99" si="32">C7</f>
        <v>1.05</v>
      </c>
      <c r="D99" s="290">
        <f t="shared" si="32"/>
        <v>2.2000000000000002</v>
      </c>
      <c r="E99" s="290">
        <f t="shared" si="32"/>
        <v>4</v>
      </c>
      <c r="F99" s="290">
        <f t="shared" si="32"/>
        <v>20</v>
      </c>
      <c r="G99" s="290">
        <f t="shared" si="32"/>
        <v>34.28</v>
      </c>
      <c r="H99" s="290">
        <f t="shared" si="32"/>
        <v>40.42</v>
      </c>
      <c r="I99" s="290">
        <f t="shared" si="32"/>
        <v>44.09</v>
      </c>
      <c r="J99" s="290">
        <f t="shared" si="32"/>
        <v>47.96</v>
      </c>
      <c r="K99" s="290">
        <f t="shared" si="32"/>
        <v>52.03</v>
      </c>
      <c r="L99" s="290">
        <f t="shared" si="32"/>
        <v>56.2</v>
      </c>
      <c r="M99" s="290" t="str">
        <f t="shared" si="32"/>
        <v/>
      </c>
      <c r="N99" s="290" t="str">
        <f t="shared" si="32"/>
        <v/>
      </c>
      <c r="O99" s="290" t="str">
        <f t="shared" si="32"/>
        <v/>
      </c>
      <c r="P99" s="290" t="str">
        <f t="shared" si="32"/>
        <v/>
      </c>
      <c r="Q99" s="290" t="str">
        <f t="shared" si="32"/>
        <v/>
      </c>
      <c r="R99" s="290" t="str">
        <f t="shared" si="32"/>
        <v/>
      </c>
      <c r="S99" s="290" t="str">
        <f t="shared" si="32"/>
        <v/>
      </c>
      <c r="T99" s="290" t="str">
        <f t="shared" si="32"/>
        <v/>
      </c>
      <c r="U99" s="290" t="str">
        <f t="shared" si="32"/>
        <v/>
      </c>
      <c r="V99" s="621"/>
    </row>
    <row r="100" spans="1:22" s="75" customFormat="1" ht="12" customHeight="1" x14ac:dyDescent="0.2">
      <c r="A100" s="309"/>
      <c r="B100" s="291" t="str">
        <f>IF(INPUT!C67="","",CONCATENATE("(",INPUT!C67,")"))</f>
        <v/>
      </c>
      <c r="C100" s="291" t="str">
        <f>IF(INPUT!D67="","",CONCATENATE("(",INPUT!D67,")"))</f>
        <v/>
      </c>
      <c r="D100" s="291" t="str">
        <f>IF(INPUT!E67="","",CONCATENATE("(",INPUT!E67,")"))</f>
        <v/>
      </c>
      <c r="E100" s="291" t="str">
        <f>IF(INPUT!F67="","",CONCATENATE("(",INPUT!F67,")"))</f>
        <v/>
      </c>
      <c r="F100" s="291" t="str">
        <f>IF(INPUT!G67="","",CONCATENATE("(",INPUT!G67,")"))</f>
        <v/>
      </c>
      <c r="G100" s="291" t="str">
        <f>IF(INPUT!H67="","",CONCATENATE("(",INPUT!H67,")"))</f>
        <v/>
      </c>
      <c r="H100" s="291" t="str">
        <f>IF(INPUT!I67="","",CONCATENATE("(",INPUT!I67,")"))</f>
        <v/>
      </c>
      <c r="I100" s="291" t="str">
        <f>IF(INPUT!J67="","",CONCATENATE("(",INPUT!J67,")"))</f>
        <v/>
      </c>
      <c r="J100" s="291" t="str">
        <f>IF(INPUT!K67="","",CONCATENATE("(",INPUT!K67,")"))</f>
        <v/>
      </c>
      <c r="K100" s="291" t="str">
        <f>IF(INPUT!L67="","",CONCATENATE("(",INPUT!L67,")"))</f>
        <v/>
      </c>
      <c r="L100" s="291" t="str">
        <f>IF(INPUT!M67="","",CONCATENATE("(",INPUT!M67,")"))</f>
        <v/>
      </c>
      <c r="M100" s="291" t="str">
        <f>IF(INPUT!N67="","",CONCATENATE("(",INPUT!N67,")"))</f>
        <v/>
      </c>
      <c r="N100" s="291" t="str">
        <f>IF(INPUT!O67="","",CONCATENATE("(",INPUT!O67,")"))</f>
        <v/>
      </c>
      <c r="O100" s="291" t="str">
        <f>IF(INPUT!P67="","",CONCATENATE("(",INPUT!P67,")"))</f>
        <v/>
      </c>
      <c r="P100" s="291" t="str">
        <f>IF(INPUT!Q67="","",CONCATENATE("(",INPUT!Q67,")"))</f>
        <v/>
      </c>
      <c r="Q100" s="291" t="str">
        <f>IF(INPUT!R67="","",CONCATENATE("(",INPUT!R67,")"))</f>
        <v/>
      </c>
      <c r="R100" s="291" t="str">
        <f>IF(INPUT!S67="","",CONCATENATE("(",INPUT!S67,")"))</f>
        <v/>
      </c>
      <c r="S100" s="291" t="str">
        <f>IF(INPUT!T67="","",CONCATENATE("(",INPUT!T67,")"))</f>
        <v/>
      </c>
      <c r="T100" s="291" t="str">
        <f>IF(INPUT!U67="","",CONCATENATE("(",INPUT!U67,")"))</f>
        <v/>
      </c>
      <c r="U100" s="291" t="str">
        <f>IF(INPUT!V67="","",CONCATENATE("(",INPUT!V67,")"))</f>
        <v/>
      </c>
      <c r="V100" s="621"/>
    </row>
    <row r="101" spans="1:22" s="312" customFormat="1" ht="12" customHeight="1" x14ac:dyDescent="0.2">
      <c r="A101" s="310" t="s">
        <v>397</v>
      </c>
      <c r="B101" s="311">
        <f>B238</f>
        <v>5</v>
      </c>
      <c r="C101" s="311">
        <f t="shared" ref="C101:U101" si="33">C238</f>
        <v>35</v>
      </c>
      <c r="D101" s="311">
        <f t="shared" si="33"/>
        <v>48</v>
      </c>
      <c r="E101" s="311">
        <f t="shared" si="33"/>
        <v>55</v>
      </c>
      <c r="F101" s="311">
        <f t="shared" si="33"/>
        <v>82</v>
      </c>
      <c r="G101" s="311">
        <f t="shared" si="33"/>
        <v>78</v>
      </c>
      <c r="H101" s="311">
        <f t="shared" si="33"/>
        <v>86</v>
      </c>
      <c r="I101" s="311">
        <f t="shared" si="33"/>
        <v>87</v>
      </c>
      <c r="J101" s="311">
        <f t="shared" si="33"/>
        <v>87</v>
      </c>
      <c r="K101" s="311">
        <f t="shared" si="33"/>
        <v>85</v>
      </c>
      <c r="L101" s="311">
        <f t="shared" si="33"/>
        <v>82</v>
      </c>
      <c r="M101" s="311" t="str">
        <f t="shared" si="33"/>
        <v/>
      </c>
      <c r="N101" s="311" t="str">
        <f t="shared" si="33"/>
        <v/>
      </c>
      <c r="O101" s="311" t="str">
        <f t="shared" si="33"/>
        <v/>
      </c>
      <c r="P101" s="311" t="str">
        <f t="shared" si="33"/>
        <v/>
      </c>
      <c r="Q101" s="311" t="str">
        <f t="shared" si="33"/>
        <v/>
      </c>
      <c r="R101" s="311" t="str">
        <f t="shared" si="33"/>
        <v/>
      </c>
      <c r="S101" s="311" t="str">
        <f t="shared" si="33"/>
        <v/>
      </c>
      <c r="T101" s="311" t="str">
        <f t="shared" si="33"/>
        <v/>
      </c>
      <c r="U101" s="311" t="str">
        <f t="shared" si="33"/>
        <v/>
      </c>
      <c r="V101" s="622"/>
    </row>
    <row r="102" spans="1:22" s="312" customFormat="1" ht="12" customHeight="1" x14ac:dyDescent="0.2">
      <c r="A102" s="313"/>
      <c r="B102" s="291" t="str">
        <f>IF(INPUT!C68="","",CONCATENATE("(",INPUT!C68,")"))</f>
        <v/>
      </c>
      <c r="C102" s="291" t="str">
        <f>IF(INPUT!D68="","",CONCATENATE("(",INPUT!D68,")"))</f>
        <v/>
      </c>
      <c r="D102" s="291" t="str">
        <f>IF(INPUT!E68="","",CONCATENATE("(",INPUT!E68,")"))</f>
        <v/>
      </c>
      <c r="E102" s="291" t="str">
        <f>IF(INPUT!F68="","",CONCATENATE("(",INPUT!F68,")"))</f>
        <v/>
      </c>
      <c r="F102" s="291" t="str">
        <f>IF(INPUT!G68="","",CONCATENATE("(",INPUT!G68,")"))</f>
        <v/>
      </c>
      <c r="G102" s="291" t="str">
        <f>IF(INPUT!H68="","",CONCATENATE("(",INPUT!H68,")"))</f>
        <v/>
      </c>
      <c r="H102" s="291" t="str">
        <f>IF(INPUT!I68="","",CONCATENATE("(",INPUT!I68,")"))</f>
        <v/>
      </c>
      <c r="I102" s="291" t="str">
        <f>IF(INPUT!J68="","",CONCATENATE("(",INPUT!J68,")"))</f>
        <v/>
      </c>
      <c r="J102" s="291" t="str">
        <f>IF(INPUT!K68="","",CONCATENATE("(",INPUT!K68,")"))</f>
        <v/>
      </c>
      <c r="K102" s="291" t="str">
        <f>IF(INPUT!L68="","",CONCATENATE("(",INPUT!L68,")"))</f>
        <v/>
      </c>
      <c r="L102" s="291" t="str">
        <f>IF(INPUT!M68="","",CONCATENATE("(",INPUT!M68,")"))</f>
        <v/>
      </c>
      <c r="M102" s="291" t="str">
        <f>IF(INPUT!N68="","",CONCATENATE("(",INPUT!N68,")"))</f>
        <v/>
      </c>
      <c r="N102" s="291" t="str">
        <f>IF(INPUT!O68="","",CONCATENATE("(",INPUT!O68,")"))</f>
        <v/>
      </c>
      <c r="O102" s="291" t="str">
        <f>IF(INPUT!P68="","",CONCATENATE("(",INPUT!P68,")"))</f>
        <v/>
      </c>
      <c r="P102" s="291" t="str">
        <f>IF(INPUT!Q68="","",CONCATENATE("(",INPUT!Q68,")"))</f>
        <v/>
      </c>
      <c r="Q102" s="291" t="str">
        <f>IF(INPUT!R68="","",CONCATENATE("(",INPUT!R68,")"))</f>
        <v/>
      </c>
      <c r="R102" s="291" t="str">
        <f>IF(INPUT!S68="","",CONCATENATE("(",INPUT!S68,")"))</f>
        <v/>
      </c>
      <c r="S102" s="291" t="str">
        <f>IF(INPUT!T68="","",CONCATENATE("(",INPUT!T68,")"))</f>
        <v/>
      </c>
      <c r="T102" s="291" t="str">
        <f>IF(INPUT!U68="","",CONCATENATE("(",INPUT!U68,")"))</f>
        <v/>
      </c>
      <c r="U102" s="291" t="str">
        <f>IF(INPUT!V68="","",CONCATENATE("(",INPUT!V68,")"))</f>
        <v/>
      </c>
      <c r="V102" s="622"/>
    </row>
    <row r="103" spans="1:22" s="75" customFormat="1" ht="12" customHeight="1" x14ac:dyDescent="0.2">
      <c r="A103" s="308" t="s">
        <v>398</v>
      </c>
      <c r="B103" s="290">
        <f>B191</f>
        <v>2.8571428571428572</v>
      </c>
      <c r="C103" s="290">
        <f t="shared" ref="C103:U103" si="34">C191</f>
        <v>2.3863636363636362</v>
      </c>
      <c r="D103" s="290">
        <f t="shared" si="34"/>
        <v>0.45360824742268047</v>
      </c>
      <c r="E103" s="290">
        <f t="shared" si="34"/>
        <v>0.26367831245880025</v>
      </c>
      <c r="F103" s="290">
        <f t="shared" si="34"/>
        <v>0.7482229704451927</v>
      </c>
      <c r="G103" s="290">
        <f t="shared" si="34"/>
        <v>1.2495027720267293</v>
      </c>
      <c r="H103" s="290">
        <f t="shared" si="34"/>
        <v>1.4527499155085932</v>
      </c>
      <c r="I103" s="290">
        <f t="shared" si="34"/>
        <v>1.6076247025290962</v>
      </c>
      <c r="J103" s="290">
        <f t="shared" si="34"/>
        <v>1.7682276687876382</v>
      </c>
      <c r="K103" s="290">
        <f t="shared" si="34"/>
        <v>1.9426459272505607</v>
      </c>
      <c r="L103" s="290">
        <f t="shared" si="34"/>
        <v>2.1418166294601848</v>
      </c>
      <c r="M103" s="290" t="str">
        <f t="shared" si="34"/>
        <v/>
      </c>
      <c r="N103" s="290" t="str">
        <f t="shared" si="34"/>
        <v/>
      </c>
      <c r="O103" s="290" t="str">
        <f t="shared" si="34"/>
        <v/>
      </c>
      <c r="P103" s="290" t="str">
        <f t="shared" si="34"/>
        <v/>
      </c>
      <c r="Q103" s="290" t="str">
        <f t="shared" si="34"/>
        <v/>
      </c>
      <c r="R103" s="290" t="str">
        <f t="shared" si="34"/>
        <v/>
      </c>
      <c r="S103" s="290" t="str">
        <f t="shared" si="34"/>
        <v/>
      </c>
      <c r="T103" s="290" t="str">
        <f t="shared" si="34"/>
        <v/>
      </c>
      <c r="U103" s="290" t="str">
        <f t="shared" si="34"/>
        <v/>
      </c>
      <c r="V103" s="621"/>
    </row>
    <row r="104" spans="1:22" s="75" customFormat="1" ht="12" customHeight="1" x14ac:dyDescent="0.2">
      <c r="A104" s="309"/>
      <c r="B104" s="291" t="str">
        <f>IF(INPUT!C69="","",CONCATENATE("(",INPUT!C69,")"))</f>
        <v/>
      </c>
      <c r="C104" s="291" t="str">
        <f>IF(INPUT!D69="","",CONCATENATE("(",INPUT!D69,")"))</f>
        <v/>
      </c>
      <c r="D104" s="291" t="str">
        <f>IF(INPUT!E69="","",CONCATENATE("(",INPUT!E69,")"))</f>
        <v/>
      </c>
      <c r="E104" s="291" t="str">
        <f>IF(INPUT!F69="","",CONCATENATE("(",INPUT!F69,")"))</f>
        <v/>
      </c>
      <c r="F104" s="291" t="str">
        <f>IF(INPUT!G69="","",CONCATENATE("(",INPUT!G69,")"))</f>
        <v/>
      </c>
      <c r="G104" s="291" t="str">
        <f>IF(INPUT!H69="","",CONCATENATE("(",INPUT!H69,")"))</f>
        <v/>
      </c>
      <c r="H104" s="291" t="str">
        <f>IF(INPUT!I69="","",CONCATENATE("(",INPUT!I69,")"))</f>
        <v/>
      </c>
      <c r="I104" s="291" t="str">
        <f>IF(INPUT!J69="","",CONCATENATE("(",INPUT!J69,")"))</f>
        <v/>
      </c>
      <c r="J104" s="291" t="str">
        <f>IF(INPUT!K69="","",CONCATENATE("(",INPUT!K69,")"))</f>
        <v/>
      </c>
      <c r="K104" s="291" t="str">
        <f>IF(INPUT!L69="","",CONCATENATE("(",INPUT!L69,")"))</f>
        <v/>
      </c>
      <c r="L104" s="291" t="str">
        <f>IF(INPUT!M69="","",CONCATENATE("(",INPUT!M69,")"))</f>
        <v/>
      </c>
      <c r="M104" s="291" t="str">
        <f>IF(INPUT!N69="","",CONCATENATE("(",INPUT!N69,")"))</f>
        <v/>
      </c>
      <c r="N104" s="291" t="str">
        <f>IF(INPUT!O69="","",CONCATENATE("(",INPUT!O69,")"))</f>
        <v/>
      </c>
      <c r="O104" s="291" t="str">
        <f>IF(INPUT!P69="","",CONCATENATE("(",INPUT!P69,")"))</f>
        <v/>
      </c>
      <c r="P104" s="291" t="str">
        <f>IF(INPUT!Q69="","",CONCATENATE("(",INPUT!Q69,")"))</f>
        <v/>
      </c>
      <c r="Q104" s="291" t="str">
        <f>IF(INPUT!R69="","",CONCATENATE("(",INPUT!R69,")"))</f>
        <v/>
      </c>
      <c r="R104" s="291" t="str">
        <f>IF(INPUT!S69="","",CONCATENATE("(",INPUT!S69,")"))</f>
        <v/>
      </c>
      <c r="S104" s="291" t="str">
        <f>IF(INPUT!T69="","",CONCATENATE("(",INPUT!T69,")"))</f>
        <v/>
      </c>
      <c r="T104" s="291" t="str">
        <f>IF(INPUT!U69="","",CONCATENATE("(",INPUT!U69,")"))</f>
        <v/>
      </c>
      <c r="U104" s="291" t="str">
        <f>IF(INPUT!V69="","",CONCATENATE("(",INPUT!V69,")"))</f>
        <v/>
      </c>
      <c r="V104" s="621"/>
    </row>
    <row r="105" spans="1:22" s="75" customFormat="1" ht="12" customHeight="1" x14ac:dyDescent="0.2">
      <c r="A105" s="308" t="s">
        <v>399</v>
      </c>
      <c r="B105" s="293" t="str">
        <f>B166</f>
        <v/>
      </c>
      <c r="C105" s="293" t="str">
        <f t="shared" ref="C105:U105" si="35">C166</f>
        <v/>
      </c>
      <c r="D105" s="293" t="str">
        <f t="shared" si="35"/>
        <v/>
      </c>
      <c r="E105" s="293" t="str">
        <f t="shared" si="35"/>
        <v/>
      </c>
      <c r="F105" s="293">
        <f t="shared" si="35"/>
        <v>0.31446540880503149</v>
      </c>
      <c r="G105" s="293">
        <f t="shared" si="35"/>
        <v>0.20953569443828748</v>
      </c>
      <c r="H105" s="293">
        <f t="shared" si="35"/>
        <v>0.16538362395749659</v>
      </c>
      <c r="I105" s="293">
        <f t="shared" si="35"/>
        <v>0.14732362488140044</v>
      </c>
      <c r="J105" s="293">
        <f t="shared" si="35"/>
        <v>0.13410934251528595</v>
      </c>
      <c r="K105" s="293">
        <f t="shared" si="35"/>
        <v>0.12497610808308754</v>
      </c>
      <c r="L105" s="293">
        <f t="shared" si="35"/>
        <v>0.1197647259385414</v>
      </c>
      <c r="M105" s="293" t="str">
        <f t="shared" si="35"/>
        <v/>
      </c>
      <c r="N105" s="293" t="str">
        <f t="shared" si="35"/>
        <v/>
      </c>
      <c r="O105" s="293" t="str">
        <f t="shared" si="35"/>
        <v/>
      </c>
      <c r="P105" s="293" t="str">
        <f t="shared" si="35"/>
        <v/>
      </c>
      <c r="Q105" s="293" t="str">
        <f t="shared" si="35"/>
        <v/>
      </c>
      <c r="R105" s="293" t="str">
        <f t="shared" si="35"/>
        <v/>
      </c>
      <c r="S105" s="293" t="str">
        <f t="shared" si="35"/>
        <v/>
      </c>
      <c r="T105" s="293" t="str">
        <f t="shared" si="35"/>
        <v/>
      </c>
      <c r="U105" s="293" t="str">
        <f t="shared" si="35"/>
        <v/>
      </c>
      <c r="V105" s="621"/>
    </row>
    <row r="106" spans="1:22" s="75" customFormat="1" ht="12" customHeight="1" x14ac:dyDescent="0.2">
      <c r="A106" s="309"/>
      <c r="B106" s="292" t="str">
        <f>IF(INPUT!C70="","",CONCATENATE("(",INPUT!C70,"%",")"))</f>
        <v/>
      </c>
      <c r="C106" s="292" t="str">
        <f>IF(INPUT!D70="","",CONCATENATE("(",INPUT!D70,"%",")"))</f>
        <v/>
      </c>
      <c r="D106" s="292" t="str">
        <f>IF(INPUT!E70="","",CONCATENATE("(",INPUT!E70,"%",")"))</f>
        <v/>
      </c>
      <c r="E106" s="292" t="str">
        <f>IF(INPUT!F70="","",CONCATENATE("(",INPUT!F70,"%",")"))</f>
        <v/>
      </c>
      <c r="F106" s="292" t="str">
        <f>IF(INPUT!G70="","",CONCATENATE("(",INPUT!G70,"%",")"))</f>
        <v/>
      </c>
      <c r="G106" s="292" t="str">
        <f>IF(INPUT!H70="","",CONCATENATE("(",INPUT!H70,"%",")"))</f>
        <v/>
      </c>
      <c r="H106" s="292" t="str">
        <f>IF(INPUT!I70="","",CONCATENATE("(",INPUT!I70,"%",")"))</f>
        <v/>
      </c>
      <c r="I106" s="292" t="str">
        <f>IF(INPUT!J70="","",CONCATENATE("(",INPUT!J70,"%",")"))</f>
        <v/>
      </c>
      <c r="J106" s="292" t="str">
        <f>IF(INPUT!K70="","",CONCATENATE("(",INPUT!K70,"%",")"))</f>
        <v/>
      </c>
      <c r="K106" s="292" t="str">
        <f>IF(INPUT!L70="","",CONCATENATE("(",INPUT!L70,"%",")"))</f>
        <v/>
      </c>
      <c r="L106" s="292" t="str">
        <f>IF(INPUT!M70="","",CONCATENATE("(",INPUT!M70,"%",")"))</f>
        <v/>
      </c>
      <c r="M106" s="292" t="str">
        <f>IF(INPUT!N70="","",CONCATENATE("(",INPUT!N70,"%",")"))</f>
        <v/>
      </c>
      <c r="N106" s="292" t="str">
        <f>IF(INPUT!O70="","",CONCATENATE("(",INPUT!O70,"%",")"))</f>
        <v/>
      </c>
      <c r="O106" s="292" t="str">
        <f>IF(INPUT!P70="","",CONCATENATE("(",INPUT!P70,"%",")"))</f>
        <v/>
      </c>
      <c r="P106" s="292" t="str">
        <f>IF(INPUT!Q70="","",CONCATENATE("(",INPUT!Q70,"%",")"))</f>
        <v/>
      </c>
      <c r="Q106" s="292" t="str">
        <f>IF(INPUT!R70="","",CONCATENATE("(",INPUT!R70,"%",")"))</f>
        <v/>
      </c>
      <c r="R106" s="292" t="str">
        <f>IF(INPUT!S70="","",CONCATENATE("(",INPUT!S70,"%",")"))</f>
        <v/>
      </c>
      <c r="S106" s="292" t="str">
        <f>IF(INPUT!T70="","",CONCATENATE("(",INPUT!T70,"%",")"))</f>
        <v/>
      </c>
      <c r="T106" s="292" t="str">
        <f>IF(INPUT!U70="","",CONCATENATE("(",INPUT!U70,"%",")"))</f>
        <v/>
      </c>
      <c r="U106" s="292" t="str">
        <f>IF(INPUT!V70="","",CONCATENATE("(",INPUT!V70,"%",")"))</f>
        <v/>
      </c>
      <c r="V106" s="621"/>
    </row>
    <row r="107" spans="1:22" s="75" customFormat="1" ht="12" customHeight="1" x14ac:dyDescent="0.2">
      <c r="A107" s="308" t="s">
        <v>400</v>
      </c>
      <c r="B107" s="293" t="str">
        <f>IF(ISERROR(Liab!C24/'Ratio New'!B160),"",IF(Liab!C24/'Ratio New'!B160=0,"",Liab!C24/'Ratio New'!B160))</f>
        <v/>
      </c>
      <c r="C107" s="293">
        <f>IF(ISERROR(Liab!D24/'Ratio New'!C160),"",IF(Liab!D24/'Ratio New'!C160=0,"",Liab!D24/'Ratio New'!C160))</f>
        <v>5.405405405405405E-2</v>
      </c>
      <c r="D107" s="293">
        <f>IF(ISERROR(Liab!E24/'Ratio New'!D160),"",IF(Liab!E24/'Ratio New'!D160=0,"",Liab!E24/'Ratio New'!D160))</f>
        <v>0.37681159420289861</v>
      </c>
      <c r="E107" s="293">
        <f>IF(ISERROR(Liab!F24/'Ratio New'!E160),"",IF(Liab!F24/'Ratio New'!E160=0,"",Liab!F24/'Ratio New'!E160))</f>
        <v>0.28037383177570097</v>
      </c>
      <c r="F107" s="293">
        <f>IF(ISERROR(Liab!G24/'Ratio New'!F160),"",IF(Liab!G24/'Ratio New'!F160=0,"",Liab!G24/'Ratio New'!F160))</f>
        <v>3.1446540880503152E-2</v>
      </c>
      <c r="G107" s="293">
        <f>IF(ISERROR(Liab!H24/'Ratio New'!G160),"",IF(Liab!H24/'Ratio New'!G160=0,"",Liab!H24/'Ratio New'!G160))</f>
        <v>0.15715177082871562</v>
      </c>
      <c r="H107" s="293">
        <f>IF(ISERROR(Liab!I24/'Ratio New'!H160),"",IF(Liab!I24/'Ratio New'!H160=0,"",Liab!I24/'Ratio New'!H160))</f>
        <v>0.12403771796812244</v>
      </c>
      <c r="I107" s="293">
        <f>IF(ISERROR(Liab!J24/'Ratio New'!I160),"",IF(Liab!J24/'Ratio New'!I160=0,"",Liab!J24/'Ratio New'!I160))</f>
        <v>7.3661812440700219E-2</v>
      </c>
      <c r="J107" s="293">
        <f>IF(ISERROR(Liab!K24/'Ratio New'!J160),"",IF(Liab!K24/'Ratio New'!J160=0,"",Liab!K24/'Ratio New'!J160))</f>
        <v>5.0291003443232229E-2</v>
      </c>
      <c r="K107" s="293">
        <f>IF(ISERROR(Liab!L24/'Ratio New'!K160),"",IF(Liab!L24/'Ratio New'!K160=0,"",Liab!L24/'Ratio New'!K160))</f>
        <v>3.1244027020771885E-2</v>
      </c>
      <c r="L107" s="293">
        <f>IF(ISERROR(Liab!M24/'Ratio New'!L160),"",IF(Liab!M24/'Ratio New'!L160=0,"",Liab!M24/'Ratio New'!L160))</f>
        <v>1.4970590742317675E-2</v>
      </c>
      <c r="M107" s="293" t="str">
        <f>IF(ISERROR(Liab!N24/'Ratio New'!M160),"",IF(Liab!N24/'Ratio New'!M160=0,"",Liab!N24/'Ratio New'!M160))</f>
        <v/>
      </c>
      <c r="N107" s="293" t="str">
        <f>IF(ISERROR(Liab!O24/'Ratio New'!N160),"",IF(Liab!O24/'Ratio New'!N160=0,"",Liab!O24/'Ratio New'!N160))</f>
        <v/>
      </c>
      <c r="O107" s="293" t="str">
        <f>IF(ISERROR(Liab!P24/'Ratio New'!O160),"",IF(Liab!P24/'Ratio New'!O160=0,"",Liab!P24/'Ratio New'!O160))</f>
        <v/>
      </c>
      <c r="P107" s="293" t="str">
        <f>IF(ISERROR(Liab!Q24/'Ratio New'!P160),"",IF(Liab!Q24/'Ratio New'!P160=0,"",Liab!Q24/'Ratio New'!P160))</f>
        <v/>
      </c>
      <c r="Q107" s="293" t="str">
        <f>IF(ISERROR(Liab!R24/'Ratio New'!Q160),"",IF(Liab!R24/'Ratio New'!Q160=0,"",Liab!R24/'Ratio New'!Q160))</f>
        <v/>
      </c>
      <c r="R107" s="293" t="str">
        <f>IF(ISERROR(Liab!S24/'Ratio New'!R160),"",IF(Liab!S24/'Ratio New'!R160=0,"",Liab!S24/'Ratio New'!R160))</f>
        <v/>
      </c>
      <c r="S107" s="293" t="str">
        <f>IF(ISERROR(Liab!T24/'Ratio New'!S160),"",IF(Liab!T24/'Ratio New'!S160=0,"",Liab!T24/'Ratio New'!S160))</f>
        <v/>
      </c>
      <c r="T107" s="293" t="str">
        <f>IF(ISERROR(Liab!U24/'Ratio New'!T160),"",IF(Liab!U24/'Ratio New'!T160=0,"",Liab!U24/'Ratio New'!T160))</f>
        <v/>
      </c>
      <c r="U107" s="293" t="str">
        <f>IF(ISERROR(Liab!V24/'Ratio New'!U160),"",IF(Liab!V24/'Ratio New'!U160=0,"",Liab!V24/'Ratio New'!U160))</f>
        <v/>
      </c>
      <c r="V107" s="621"/>
    </row>
    <row r="108" spans="1:22" s="75" customFormat="1" ht="12" customHeight="1" x14ac:dyDescent="0.2">
      <c r="A108" s="309"/>
      <c r="B108" s="292" t="str">
        <f>IF(INPUT!C71="","",CONCATENATE("(",INPUT!C71,"%",")"))</f>
        <v/>
      </c>
      <c r="C108" s="292" t="str">
        <f>IF(INPUT!D71="","",CONCATENATE("(",INPUT!D71,"%",")"))</f>
        <v/>
      </c>
      <c r="D108" s="292" t="str">
        <f>IF(INPUT!E71="","",CONCATENATE("(",INPUT!E71,"%",")"))</f>
        <v/>
      </c>
      <c r="E108" s="292" t="str">
        <f>IF(INPUT!F71="","",CONCATENATE("(",INPUT!F71,"%",")"))</f>
        <v/>
      </c>
      <c r="F108" s="292" t="str">
        <f>IF(INPUT!G71="","",CONCATENATE("(",INPUT!G71,"%",")"))</f>
        <v/>
      </c>
      <c r="G108" s="292" t="str">
        <f>IF(INPUT!H71="","",CONCATENATE("(",INPUT!H71,"%",")"))</f>
        <v/>
      </c>
      <c r="H108" s="292" t="str">
        <f>IF(INPUT!I71="","",CONCATENATE("(",INPUT!I71,"%",")"))</f>
        <v/>
      </c>
      <c r="I108" s="292" t="str">
        <f>IF(INPUT!J71="","",CONCATENATE("(",INPUT!J71,"%",")"))</f>
        <v/>
      </c>
      <c r="J108" s="292" t="str">
        <f>IF(INPUT!K71="","",CONCATENATE("(",INPUT!K71,"%",")"))</f>
        <v/>
      </c>
      <c r="K108" s="292" t="str">
        <f>IF(INPUT!L71="","",CONCATENATE("(",INPUT!L71,"%",")"))</f>
        <v/>
      </c>
      <c r="L108" s="292" t="str">
        <f>IF(INPUT!M71="","",CONCATENATE("(",INPUT!M71,"%",")"))</f>
        <v/>
      </c>
      <c r="M108" s="292" t="str">
        <f>IF(INPUT!N71="","",CONCATENATE("(",INPUT!N71,"%",")"))</f>
        <v/>
      </c>
      <c r="N108" s="292" t="str">
        <f>IF(INPUT!O71="","",CONCATENATE("(",INPUT!O71,"%",")"))</f>
        <v/>
      </c>
      <c r="O108" s="292" t="str">
        <f>IF(INPUT!P71="","",CONCATENATE("(",INPUT!P71,"%",")"))</f>
        <v/>
      </c>
      <c r="P108" s="292" t="str">
        <f>IF(INPUT!Q71="","",CONCATENATE("(",INPUT!Q71,"%",")"))</f>
        <v/>
      </c>
      <c r="Q108" s="292" t="str">
        <f>IF(INPUT!R71="","",CONCATENATE("(",INPUT!R71,"%",")"))</f>
        <v/>
      </c>
      <c r="R108" s="292" t="str">
        <f>IF(INPUT!S71="","",CONCATENATE("(",INPUT!S71,"%",")"))</f>
        <v/>
      </c>
      <c r="S108" s="292" t="str">
        <f>IF(INPUT!T71="","",CONCATENATE("(",INPUT!T71,"%",")"))</f>
        <v/>
      </c>
      <c r="T108" s="292" t="str">
        <f>IF(INPUT!U71="","",CONCATENATE("(",INPUT!U71,"%",")"))</f>
        <v/>
      </c>
      <c r="U108" s="292" t="str">
        <f>IF(INPUT!V71="","",CONCATENATE("(",INPUT!V71,"%",")"))</f>
        <v/>
      </c>
      <c r="V108" s="621"/>
    </row>
    <row r="109" spans="1:22" s="75" customFormat="1" ht="12" customHeight="1" x14ac:dyDescent="0.2">
      <c r="A109" s="308" t="s">
        <v>401</v>
      </c>
      <c r="B109" s="293">
        <f>B167</f>
        <v>0.76190476190476186</v>
      </c>
      <c r="C109" s="293">
        <f t="shared" ref="C109:U109" si="36">C167</f>
        <v>0.40540540540540532</v>
      </c>
      <c r="D109" s="293">
        <f t="shared" si="36"/>
        <v>1.8115942028985512</v>
      </c>
      <c r="E109" s="293">
        <f t="shared" si="36"/>
        <v>1.5728971962616822</v>
      </c>
      <c r="F109" s="293">
        <f t="shared" si="36"/>
        <v>0.41509433962264158</v>
      </c>
      <c r="G109" s="293">
        <f t="shared" si="36"/>
        <v>0.37645366206515374</v>
      </c>
      <c r="H109" s="293">
        <f t="shared" si="36"/>
        <v>0.34296106520119135</v>
      </c>
      <c r="I109" s="293">
        <f t="shared" si="36"/>
        <v>0.29985810479030911</v>
      </c>
      <c r="J109" s="293">
        <f t="shared" si="36"/>
        <v>0.2781163233088918</v>
      </c>
      <c r="K109" s="293">
        <f t="shared" si="36"/>
        <v>0.2868667216509469</v>
      </c>
      <c r="L109" s="293">
        <f t="shared" si="36"/>
        <v>8.9377046585016398E-2</v>
      </c>
      <c r="M109" s="293" t="str">
        <f t="shared" si="36"/>
        <v/>
      </c>
      <c r="N109" s="293" t="str">
        <f t="shared" si="36"/>
        <v/>
      </c>
      <c r="O109" s="293" t="str">
        <f t="shared" si="36"/>
        <v/>
      </c>
      <c r="P109" s="293" t="str">
        <f t="shared" si="36"/>
        <v/>
      </c>
      <c r="Q109" s="293" t="str">
        <f t="shared" si="36"/>
        <v/>
      </c>
      <c r="R109" s="293" t="str">
        <f t="shared" si="36"/>
        <v/>
      </c>
      <c r="S109" s="293" t="str">
        <f t="shared" si="36"/>
        <v/>
      </c>
      <c r="T109" s="293" t="str">
        <f t="shared" si="36"/>
        <v/>
      </c>
      <c r="U109" s="293" t="str">
        <f t="shared" si="36"/>
        <v/>
      </c>
      <c r="V109" s="621"/>
    </row>
    <row r="110" spans="1:22" s="75" customFormat="1" ht="12" customHeight="1" x14ac:dyDescent="0.2">
      <c r="A110" s="309"/>
      <c r="B110" s="292" t="str">
        <f>IF(INPUT!C72="","",CONCATENATE("(",INPUT!C72,"%",")"))</f>
        <v/>
      </c>
      <c r="C110" s="292" t="str">
        <f>IF(INPUT!D72="","",CONCATENATE("(",INPUT!D72,"%",")"))</f>
        <v/>
      </c>
      <c r="D110" s="292" t="str">
        <f>IF(INPUT!E72="","",CONCATENATE("(",INPUT!E72,"%",")"))</f>
        <v/>
      </c>
      <c r="E110" s="292" t="str">
        <f>IF(INPUT!F72="","",CONCATENATE("(",INPUT!F72,"%",")"))</f>
        <v/>
      </c>
      <c r="F110" s="292" t="str">
        <f>IF(INPUT!G72="","",CONCATENATE("(",INPUT!G72,"%",")"))</f>
        <v/>
      </c>
      <c r="G110" s="292" t="str">
        <f>IF(INPUT!H72="","",CONCATENATE("(",INPUT!H72,"%",")"))</f>
        <v/>
      </c>
      <c r="H110" s="292" t="str">
        <f>IF(INPUT!I72="","",CONCATENATE("(",INPUT!I72,"%",")"))</f>
        <v/>
      </c>
      <c r="I110" s="292" t="str">
        <f>IF(INPUT!J72="","",CONCATENATE("(",INPUT!J72,"%",")"))</f>
        <v/>
      </c>
      <c r="J110" s="292" t="str">
        <f>IF(INPUT!K72="","",CONCATENATE("(",INPUT!K72,"%",")"))</f>
        <v/>
      </c>
      <c r="K110" s="292" t="str">
        <f>IF(INPUT!L72="","",CONCATENATE("(",INPUT!L72,"%",")"))</f>
        <v/>
      </c>
      <c r="L110" s="292" t="str">
        <f>IF(INPUT!M72="","",CONCATENATE("(",INPUT!M72,"%",")"))</f>
        <v/>
      </c>
      <c r="M110" s="292" t="str">
        <f>IF(INPUT!N72="","",CONCATENATE("(",INPUT!N72,"%",")"))</f>
        <v/>
      </c>
      <c r="N110" s="292" t="str">
        <f>IF(INPUT!O72="","",CONCATENATE("(",INPUT!O72,"%",")"))</f>
        <v/>
      </c>
      <c r="O110" s="292" t="str">
        <f>IF(INPUT!P72="","",CONCATENATE("(",INPUT!P72,"%",")"))</f>
        <v/>
      </c>
      <c r="P110" s="292" t="str">
        <f>IF(INPUT!Q72="","",CONCATENATE("(",INPUT!Q72,"%",")"))</f>
        <v/>
      </c>
      <c r="Q110" s="292" t="str">
        <f>IF(INPUT!R72="","",CONCATENATE("(",INPUT!R72,"%",")"))</f>
        <v/>
      </c>
      <c r="R110" s="292" t="str">
        <f>IF(INPUT!S72="","",CONCATENATE("(",INPUT!S72,"%",")"))</f>
        <v/>
      </c>
      <c r="S110" s="292" t="str">
        <f>IF(INPUT!T72="","",CONCATENATE("(",INPUT!T72,"%",")"))</f>
        <v/>
      </c>
      <c r="T110" s="292" t="str">
        <f>IF(INPUT!U72="","",CONCATENATE("(",INPUT!U72,"%",")"))</f>
        <v/>
      </c>
      <c r="U110" s="292" t="str">
        <f>IF(INPUT!V72="","",CONCATENATE("(",INPUT!V72,"%",")"))</f>
        <v/>
      </c>
      <c r="V110" s="621"/>
    </row>
    <row r="111" spans="1:22" s="75" customFormat="1" ht="12" customHeight="1" x14ac:dyDescent="0.2">
      <c r="A111" s="308" t="s">
        <v>402</v>
      </c>
      <c r="B111" s="293">
        <f>B165</f>
        <v>0.23809523809523817</v>
      </c>
      <c r="C111" s="293">
        <f t="shared" ref="C111:U111" si="37">C165</f>
        <v>0.59459459459459463</v>
      </c>
      <c r="D111" s="293">
        <f t="shared" si="37"/>
        <v>-0.81159420289855122</v>
      </c>
      <c r="E111" s="293">
        <f t="shared" si="37"/>
        <v>-0.57289719626168234</v>
      </c>
      <c r="F111" s="293">
        <f t="shared" si="37"/>
        <v>0.27044025157232698</v>
      </c>
      <c r="G111" s="293">
        <f t="shared" si="37"/>
        <v>0.41401064349655869</v>
      </c>
      <c r="H111" s="293">
        <f t="shared" si="37"/>
        <v>0.49165531084131209</v>
      </c>
      <c r="I111" s="293">
        <f t="shared" si="37"/>
        <v>0.55281827032829045</v>
      </c>
      <c r="J111" s="293">
        <f t="shared" si="37"/>
        <v>0.58777433417582226</v>
      </c>
      <c r="K111" s="293">
        <f t="shared" si="37"/>
        <v>0.58815717026596559</v>
      </c>
      <c r="L111" s="293">
        <f t="shared" si="37"/>
        <v>0.79085822747644219</v>
      </c>
      <c r="M111" s="293" t="str">
        <f t="shared" si="37"/>
        <v/>
      </c>
      <c r="N111" s="293" t="str">
        <f t="shared" si="37"/>
        <v/>
      </c>
      <c r="O111" s="293" t="str">
        <f t="shared" si="37"/>
        <v/>
      </c>
      <c r="P111" s="293" t="str">
        <f t="shared" si="37"/>
        <v/>
      </c>
      <c r="Q111" s="293" t="str">
        <f t="shared" si="37"/>
        <v/>
      </c>
      <c r="R111" s="293" t="str">
        <f t="shared" si="37"/>
        <v/>
      </c>
      <c r="S111" s="293" t="str">
        <f t="shared" si="37"/>
        <v/>
      </c>
      <c r="T111" s="293" t="str">
        <f t="shared" si="37"/>
        <v/>
      </c>
      <c r="U111" s="293" t="str">
        <f t="shared" si="37"/>
        <v/>
      </c>
      <c r="V111" s="621"/>
    </row>
    <row r="112" spans="1:22" s="75" customFormat="1" ht="12" customHeight="1" x14ac:dyDescent="0.2">
      <c r="A112" s="309"/>
      <c r="B112" s="292" t="str">
        <f>IF(INPUT!C73="","",CONCATENATE("(",INPUT!C73,"%",")"))</f>
        <v/>
      </c>
      <c r="C112" s="292" t="str">
        <f>IF(INPUT!D73="","",CONCATENATE("(",INPUT!D73,"%",")"))</f>
        <v/>
      </c>
      <c r="D112" s="292" t="str">
        <f>IF(INPUT!E73="","",CONCATENATE("(",INPUT!E73,"%",")"))</f>
        <v/>
      </c>
      <c r="E112" s="292" t="str">
        <f>IF(INPUT!F73="","",CONCATENATE("(",INPUT!F73,"%",")"))</f>
        <v/>
      </c>
      <c r="F112" s="292" t="str">
        <f>IF(INPUT!G73="","",CONCATENATE("(",INPUT!G73,"%",")"))</f>
        <v/>
      </c>
      <c r="G112" s="292" t="str">
        <f>IF(INPUT!H73="","",CONCATENATE("(",INPUT!H73,"%",")"))</f>
        <v/>
      </c>
      <c r="H112" s="292" t="str">
        <f>IF(INPUT!I73="","",CONCATENATE("(",INPUT!I73,"%",")"))</f>
        <v/>
      </c>
      <c r="I112" s="292" t="str">
        <f>IF(INPUT!J73="","",CONCATENATE("(",INPUT!J73,"%",")"))</f>
        <v/>
      </c>
      <c r="J112" s="292" t="str">
        <f>IF(INPUT!K73="","",CONCATENATE("(",INPUT!K73,"%",")"))</f>
        <v/>
      </c>
      <c r="K112" s="292" t="str">
        <f>IF(INPUT!L73="","",CONCATENATE("(",INPUT!L73,"%",")"))</f>
        <v/>
      </c>
      <c r="L112" s="292" t="str">
        <f>IF(INPUT!M73="","",CONCATENATE("(",INPUT!M73,"%",")"))</f>
        <v/>
      </c>
      <c r="M112" s="292" t="str">
        <f>IF(INPUT!N73="","",CONCATENATE("(",INPUT!N73,"%",")"))</f>
        <v/>
      </c>
      <c r="N112" s="292" t="str">
        <f>IF(INPUT!O73="","",CONCATENATE("(",INPUT!O73,"%",")"))</f>
        <v/>
      </c>
      <c r="O112" s="292" t="str">
        <f>IF(INPUT!P73="","",CONCATENATE("(",INPUT!P73,"%",")"))</f>
        <v/>
      </c>
      <c r="P112" s="292" t="str">
        <f>IF(INPUT!Q73="","",CONCATENATE("(",INPUT!Q73,"%",")"))</f>
        <v/>
      </c>
      <c r="Q112" s="292" t="str">
        <f>IF(INPUT!R73="","",CONCATENATE("(",INPUT!R73,"%",")"))</f>
        <v/>
      </c>
      <c r="R112" s="292" t="str">
        <f>IF(INPUT!S73="","",CONCATENATE("(",INPUT!S73,"%",")"))</f>
        <v/>
      </c>
      <c r="S112" s="292" t="str">
        <f>IF(INPUT!T73="","",CONCATENATE("(",INPUT!T73,"%",")"))</f>
        <v/>
      </c>
      <c r="T112" s="292" t="str">
        <f>IF(INPUT!U73="","",CONCATENATE("(",INPUT!U73,"%",")"))</f>
        <v/>
      </c>
      <c r="U112" s="292" t="str">
        <f>IF(INPUT!V73="","",CONCATENATE("(",INPUT!V73,"%",")"))</f>
        <v/>
      </c>
      <c r="V112" s="621"/>
    </row>
    <row r="113" spans="1:22" ht="15" x14ac:dyDescent="0.25">
      <c r="A113" s="631" t="s">
        <v>462</v>
      </c>
      <c r="B113" s="610"/>
      <c r="C113" s="610"/>
      <c r="D113" s="610"/>
      <c r="E113" s="610"/>
      <c r="F113" s="610"/>
      <c r="G113" s="610"/>
      <c r="H113" s="610"/>
      <c r="I113" s="610"/>
      <c r="J113" s="610"/>
      <c r="K113" s="610"/>
      <c r="L113" s="610"/>
      <c r="M113" s="610"/>
      <c r="N113" s="610"/>
      <c r="O113" s="610"/>
      <c r="P113" s="610"/>
      <c r="Q113" s="610"/>
      <c r="R113" s="610"/>
      <c r="S113" s="610"/>
      <c r="T113" s="610"/>
      <c r="U113" s="610"/>
      <c r="V113" s="612"/>
    </row>
    <row r="114" spans="1:22" ht="12" customHeight="1" x14ac:dyDescent="0.25">
      <c r="A114" s="620" t="s">
        <v>463</v>
      </c>
      <c r="B114" s="610"/>
      <c r="C114" s="610"/>
      <c r="D114" s="610"/>
      <c r="E114" s="610"/>
      <c r="F114" s="610"/>
      <c r="G114" s="610"/>
      <c r="H114" s="610"/>
      <c r="I114" s="610"/>
      <c r="J114" s="610"/>
      <c r="K114" s="610"/>
      <c r="L114" s="610"/>
      <c r="M114" s="610"/>
      <c r="N114" s="610"/>
      <c r="O114" s="610"/>
      <c r="P114" s="610"/>
      <c r="Q114" s="610"/>
      <c r="R114" s="610"/>
      <c r="S114" s="610"/>
      <c r="T114" s="610"/>
      <c r="U114" s="610"/>
      <c r="V114" s="612"/>
    </row>
    <row r="115" spans="1:22" s="297" customFormat="1" ht="12.75" customHeight="1" x14ac:dyDescent="0.25">
      <c r="A115" s="296"/>
      <c r="B115" s="261">
        <f>B3</f>
        <v>2020</v>
      </c>
      <c r="C115" s="261">
        <f t="shared" ref="C115:O115" si="38">C3</f>
        <v>2021</v>
      </c>
      <c r="D115" s="261">
        <f t="shared" si="38"/>
        <v>2022</v>
      </c>
      <c r="E115" s="261">
        <f t="shared" si="38"/>
        <v>2023</v>
      </c>
      <c r="F115" s="261">
        <f t="shared" si="38"/>
        <v>2024</v>
      </c>
      <c r="G115" s="261">
        <f t="shared" si="38"/>
        <v>2025</v>
      </c>
      <c r="H115" s="261">
        <f t="shared" si="38"/>
        <v>2026</v>
      </c>
      <c r="I115" s="261">
        <f t="shared" si="38"/>
        <v>2027</v>
      </c>
      <c r="J115" s="261">
        <f t="shared" si="38"/>
        <v>2028</v>
      </c>
      <c r="K115" s="261">
        <f t="shared" si="38"/>
        <v>2029</v>
      </c>
      <c r="L115" s="261">
        <f t="shared" si="38"/>
        <v>2030</v>
      </c>
      <c r="M115" s="261">
        <f t="shared" si="38"/>
        <v>2031</v>
      </c>
      <c r="N115" s="261">
        <f t="shared" si="38"/>
        <v>2032</v>
      </c>
      <c r="O115" s="261">
        <f t="shared" si="38"/>
        <v>2033</v>
      </c>
      <c r="P115" s="261">
        <f t="shared" ref="P115:U115" si="39">P3</f>
        <v>2034</v>
      </c>
      <c r="Q115" s="261">
        <f t="shared" si="39"/>
        <v>2035</v>
      </c>
      <c r="R115" s="261">
        <f t="shared" si="39"/>
        <v>2036</v>
      </c>
      <c r="S115" s="261">
        <f t="shared" si="39"/>
        <v>2037</v>
      </c>
      <c r="T115" s="261">
        <f t="shared" si="39"/>
        <v>2038</v>
      </c>
      <c r="U115" s="261">
        <f t="shared" si="39"/>
        <v>2039</v>
      </c>
      <c r="V115" s="613"/>
    </row>
    <row r="116" spans="1:22" s="297" customFormat="1" ht="12.75" customHeight="1" x14ac:dyDescent="0.25">
      <c r="A116" s="296"/>
      <c r="B116" s="261" t="str">
        <f>B98</f>
        <v>AUD.</v>
      </c>
      <c r="C116" s="261" t="str">
        <f t="shared" ref="C116:O116" si="40">C98</f>
        <v>AUD.</v>
      </c>
      <c r="D116" s="261" t="str">
        <f t="shared" si="40"/>
        <v>AUD.</v>
      </c>
      <c r="E116" s="261" t="str">
        <f t="shared" si="40"/>
        <v>EST.</v>
      </c>
      <c r="F116" s="261" t="str">
        <f t="shared" si="40"/>
        <v>PROJ.</v>
      </c>
      <c r="G116" s="261" t="str">
        <f t="shared" si="40"/>
        <v>PROJ.</v>
      </c>
      <c r="H116" s="261" t="str">
        <f t="shared" si="40"/>
        <v>PROJ.</v>
      </c>
      <c r="I116" s="261" t="str">
        <f t="shared" si="40"/>
        <v>PROJ.</v>
      </c>
      <c r="J116" s="261" t="str">
        <f t="shared" si="40"/>
        <v>PROJ.</v>
      </c>
      <c r="K116" s="261" t="str">
        <f t="shared" si="40"/>
        <v>PROJ.</v>
      </c>
      <c r="L116" s="261" t="str">
        <f t="shared" si="40"/>
        <v>PROJ.</v>
      </c>
      <c r="M116" s="261" t="str">
        <f t="shared" si="40"/>
        <v>PROJ.</v>
      </c>
      <c r="N116" s="261" t="str">
        <f t="shared" si="40"/>
        <v>PROJ.</v>
      </c>
      <c r="O116" s="261" t="str">
        <f t="shared" si="40"/>
        <v>PROJ.</v>
      </c>
      <c r="P116" s="261" t="str">
        <f t="shared" ref="P116:U116" si="41">P98</f>
        <v>PROJ.</v>
      </c>
      <c r="Q116" s="261" t="str">
        <f t="shared" si="41"/>
        <v>PROJ.</v>
      </c>
      <c r="R116" s="261" t="str">
        <f t="shared" si="41"/>
        <v>PROJ.</v>
      </c>
      <c r="S116" s="261" t="str">
        <f t="shared" si="41"/>
        <v>PROJ.</v>
      </c>
      <c r="T116" s="261" t="str">
        <f t="shared" si="41"/>
        <v>PROJ.</v>
      </c>
      <c r="U116" s="261" t="str">
        <f t="shared" si="41"/>
        <v>PROJ.</v>
      </c>
      <c r="V116" s="613"/>
    </row>
    <row r="117" spans="1:22" x14ac:dyDescent="0.2">
      <c r="A117" s="287" t="s">
        <v>396</v>
      </c>
      <c r="B117" s="256">
        <f>B85</f>
        <v>0.8</v>
      </c>
      <c r="C117" s="256">
        <f t="shared" ref="C117:U117" si="42">C85</f>
        <v>1.05</v>
      </c>
      <c r="D117" s="256">
        <f t="shared" si="42"/>
        <v>2.2000000000000002</v>
      </c>
      <c r="E117" s="256">
        <f t="shared" si="42"/>
        <v>4</v>
      </c>
      <c r="F117" s="256">
        <f t="shared" si="42"/>
        <v>20</v>
      </c>
      <c r="G117" s="256">
        <f t="shared" si="42"/>
        <v>34.28</v>
      </c>
      <c r="H117" s="256">
        <f t="shared" si="42"/>
        <v>40.42</v>
      </c>
      <c r="I117" s="256">
        <f t="shared" si="42"/>
        <v>44.09</v>
      </c>
      <c r="J117" s="256">
        <f t="shared" si="42"/>
        <v>47.96</v>
      </c>
      <c r="K117" s="256">
        <f t="shared" si="42"/>
        <v>52.03</v>
      </c>
      <c r="L117" s="256">
        <f t="shared" si="42"/>
        <v>56.2</v>
      </c>
      <c r="M117" s="256" t="str">
        <f t="shared" si="42"/>
        <v/>
      </c>
      <c r="N117" s="256" t="str">
        <f t="shared" si="42"/>
        <v/>
      </c>
      <c r="O117" s="256" t="str">
        <f t="shared" si="42"/>
        <v/>
      </c>
      <c r="P117" s="256" t="str">
        <f t="shared" si="42"/>
        <v/>
      </c>
      <c r="Q117" s="256" t="str">
        <f t="shared" si="42"/>
        <v/>
      </c>
      <c r="R117" s="256" t="str">
        <f t="shared" si="42"/>
        <v/>
      </c>
      <c r="S117" s="256" t="str">
        <f t="shared" si="42"/>
        <v/>
      </c>
      <c r="T117" s="256" t="str">
        <f t="shared" si="42"/>
        <v/>
      </c>
      <c r="U117" s="256" t="str">
        <f t="shared" si="42"/>
        <v/>
      </c>
      <c r="V117" s="612"/>
    </row>
    <row r="118" spans="1:22" x14ac:dyDescent="0.2">
      <c r="A118" s="287" t="s">
        <v>56</v>
      </c>
      <c r="B118" s="256">
        <f>B25</f>
        <v>9.9999999999999978E-2</v>
      </c>
      <c r="C118" s="256">
        <f t="shared" ref="C118:U118" si="43">C25</f>
        <v>0.13</v>
      </c>
      <c r="D118" s="256">
        <f t="shared" si="43"/>
        <v>0.38000000000000017</v>
      </c>
      <c r="E118" s="256">
        <f t="shared" si="43"/>
        <v>0.30999999999999983</v>
      </c>
      <c r="F118" s="256">
        <f t="shared" si="43"/>
        <v>0.8200000000000004</v>
      </c>
      <c r="G118" s="256">
        <f t="shared" si="43"/>
        <v>1.7307250000000023</v>
      </c>
      <c r="H118" s="256">
        <f t="shared" si="43"/>
        <v>2.3448700000000016</v>
      </c>
      <c r="I118" s="256">
        <f t="shared" si="43"/>
        <v>2.6224675</v>
      </c>
      <c r="J118" s="256">
        <f t="shared" si="43"/>
        <v>2.8786849999999942</v>
      </c>
      <c r="K118" s="256">
        <f t="shared" si="43"/>
        <v>3.169150000000001</v>
      </c>
      <c r="L118" s="256">
        <f t="shared" si="43"/>
        <v>3.6418124999999986</v>
      </c>
      <c r="M118" s="256" t="str">
        <f t="shared" si="43"/>
        <v/>
      </c>
      <c r="N118" s="256" t="str">
        <f t="shared" si="43"/>
        <v/>
      </c>
      <c r="O118" s="256" t="str">
        <f t="shared" si="43"/>
        <v/>
      </c>
      <c r="P118" s="256" t="str">
        <f t="shared" si="43"/>
        <v/>
      </c>
      <c r="Q118" s="256" t="str">
        <f t="shared" si="43"/>
        <v/>
      </c>
      <c r="R118" s="256" t="str">
        <f t="shared" si="43"/>
        <v/>
      </c>
      <c r="S118" s="256" t="str">
        <f t="shared" si="43"/>
        <v/>
      </c>
      <c r="T118" s="256" t="str">
        <f t="shared" si="43"/>
        <v/>
      </c>
      <c r="U118" s="256" t="str">
        <f t="shared" si="43"/>
        <v/>
      </c>
      <c r="V118" s="612"/>
    </row>
    <row r="119" spans="1:22" x14ac:dyDescent="0.2">
      <c r="A119" s="287" t="s">
        <v>45</v>
      </c>
      <c r="B119" s="256">
        <f>B86</f>
        <v>9.9999999999999978E-2</v>
      </c>
      <c r="C119" s="256">
        <f t="shared" ref="C119:U119" si="44">C86</f>
        <v>0.13</v>
      </c>
      <c r="D119" s="256">
        <f t="shared" si="44"/>
        <v>0.38000000000000017</v>
      </c>
      <c r="E119" s="256">
        <f t="shared" si="44"/>
        <v>0.30999999999999983</v>
      </c>
      <c r="F119" s="256">
        <f t="shared" si="44"/>
        <v>0.80000000000000038</v>
      </c>
      <c r="G119" s="256">
        <f t="shared" si="44"/>
        <v>1.7107250000000023</v>
      </c>
      <c r="H119" s="256">
        <f t="shared" si="44"/>
        <v>2.3248700000000015</v>
      </c>
      <c r="I119" s="256">
        <f t="shared" si="44"/>
        <v>2.6024674999999999</v>
      </c>
      <c r="J119" s="256">
        <f t="shared" si="44"/>
        <v>2.8586849999999941</v>
      </c>
      <c r="K119" s="256">
        <f t="shared" si="44"/>
        <v>3.169150000000001</v>
      </c>
      <c r="L119" s="256">
        <f t="shared" si="44"/>
        <v>3.6418124999999986</v>
      </c>
      <c r="M119" s="256" t="str">
        <f t="shared" si="44"/>
        <v/>
      </c>
      <c r="N119" s="256" t="str">
        <f t="shared" si="44"/>
        <v/>
      </c>
      <c r="O119" s="256" t="str">
        <f t="shared" si="44"/>
        <v/>
      </c>
      <c r="P119" s="256" t="str">
        <f t="shared" si="44"/>
        <v/>
      </c>
      <c r="Q119" s="256" t="str">
        <f t="shared" si="44"/>
        <v/>
      </c>
      <c r="R119" s="256" t="str">
        <f t="shared" si="44"/>
        <v/>
      </c>
      <c r="S119" s="256" t="str">
        <f t="shared" si="44"/>
        <v/>
      </c>
      <c r="T119" s="256" t="str">
        <f t="shared" si="44"/>
        <v/>
      </c>
      <c r="U119" s="256" t="str">
        <f t="shared" si="44"/>
        <v/>
      </c>
      <c r="V119" s="612"/>
    </row>
    <row r="120" spans="1:22" x14ac:dyDescent="0.2">
      <c r="A120" s="287" t="s">
        <v>35</v>
      </c>
      <c r="B120" s="256">
        <f>B87</f>
        <v>6.9999999999999979E-2</v>
      </c>
      <c r="C120" s="256">
        <f t="shared" ref="C120:U120" si="45">C87</f>
        <v>0.09</v>
      </c>
      <c r="D120" s="256">
        <f t="shared" si="45"/>
        <v>0.27000000000000018</v>
      </c>
      <c r="E120" s="256">
        <f t="shared" si="45"/>
        <v>0.21699999999999989</v>
      </c>
      <c r="F120" s="256">
        <f t="shared" si="45"/>
        <v>0.56000000000000028</v>
      </c>
      <c r="G120" s="256">
        <f t="shared" si="45"/>
        <v>1.1975075000000017</v>
      </c>
      <c r="H120" s="256">
        <f t="shared" si="45"/>
        <v>1.627409000000001</v>
      </c>
      <c r="I120" s="256">
        <f t="shared" si="45"/>
        <v>1.8217272499999999</v>
      </c>
      <c r="J120" s="256">
        <f t="shared" si="45"/>
        <v>2.0010794999999959</v>
      </c>
      <c r="K120" s="256">
        <f t="shared" si="45"/>
        <v>2.2184050000000006</v>
      </c>
      <c r="L120" s="256">
        <f t="shared" si="45"/>
        <v>2.5492687499999991</v>
      </c>
      <c r="M120" s="256" t="str">
        <f t="shared" si="45"/>
        <v/>
      </c>
      <c r="N120" s="256" t="str">
        <f t="shared" si="45"/>
        <v/>
      </c>
      <c r="O120" s="256" t="str">
        <f t="shared" si="45"/>
        <v/>
      </c>
      <c r="P120" s="256" t="str">
        <f t="shared" si="45"/>
        <v/>
      </c>
      <c r="Q120" s="256" t="str">
        <f t="shared" si="45"/>
        <v/>
      </c>
      <c r="R120" s="256" t="str">
        <f t="shared" si="45"/>
        <v/>
      </c>
      <c r="S120" s="256" t="str">
        <f t="shared" si="45"/>
        <v/>
      </c>
      <c r="T120" s="256" t="str">
        <f t="shared" si="45"/>
        <v/>
      </c>
      <c r="U120" s="256" t="str">
        <f t="shared" si="45"/>
        <v/>
      </c>
      <c r="V120" s="612"/>
    </row>
    <row r="121" spans="1:22" x14ac:dyDescent="0.2">
      <c r="A121" s="287" t="s">
        <v>47</v>
      </c>
      <c r="B121" s="256">
        <f>B88</f>
        <v>9.9999999999999978E-2</v>
      </c>
      <c r="C121" s="256">
        <f t="shared" ref="C121:U121" si="46">C88</f>
        <v>0.11</v>
      </c>
      <c r="D121" s="256">
        <f t="shared" si="46"/>
        <v>0.2900000000000002</v>
      </c>
      <c r="E121" s="256">
        <f t="shared" si="46"/>
        <v>0.23699999999999988</v>
      </c>
      <c r="F121" s="256">
        <f t="shared" si="46"/>
        <v>2.1500000000000004</v>
      </c>
      <c r="G121" s="256">
        <f t="shared" si="46"/>
        <v>3.6975075000000017</v>
      </c>
      <c r="H121" s="256">
        <f t="shared" si="46"/>
        <v>3.8074090000000012</v>
      </c>
      <c r="I121" s="256">
        <f t="shared" si="46"/>
        <v>3.7217272499999998</v>
      </c>
      <c r="J121" s="256">
        <f t="shared" si="46"/>
        <v>3.6610794999999956</v>
      </c>
      <c r="K121" s="256">
        <f t="shared" si="46"/>
        <v>3.6484050000000003</v>
      </c>
      <c r="L121" s="256">
        <f t="shared" si="46"/>
        <v>3.7892687499999989</v>
      </c>
      <c r="M121" s="256" t="str">
        <f t="shared" si="46"/>
        <v/>
      </c>
      <c r="N121" s="256" t="str">
        <f t="shared" si="46"/>
        <v/>
      </c>
      <c r="O121" s="256" t="str">
        <f t="shared" si="46"/>
        <v/>
      </c>
      <c r="P121" s="256" t="str">
        <f t="shared" si="46"/>
        <v/>
      </c>
      <c r="Q121" s="256" t="str">
        <f t="shared" si="46"/>
        <v/>
      </c>
      <c r="R121" s="256" t="str">
        <f t="shared" si="46"/>
        <v/>
      </c>
      <c r="S121" s="256" t="str">
        <f t="shared" si="46"/>
        <v/>
      </c>
      <c r="T121" s="256" t="str">
        <f t="shared" si="46"/>
        <v/>
      </c>
      <c r="U121" s="256" t="str">
        <f t="shared" si="46"/>
        <v/>
      </c>
      <c r="V121" s="612"/>
    </row>
    <row r="122" spans="1:22" x14ac:dyDescent="0.2">
      <c r="A122" s="287" t="s">
        <v>17</v>
      </c>
      <c r="B122" s="256">
        <f>B37</f>
        <v>0.12999999999999998</v>
      </c>
      <c r="C122" s="256">
        <f t="shared" ref="C122:U122" si="47">C37</f>
        <v>0.15</v>
      </c>
      <c r="D122" s="256">
        <f t="shared" si="47"/>
        <v>0.45000000000000018</v>
      </c>
      <c r="E122" s="256">
        <f t="shared" si="47"/>
        <v>0.79999999999999982</v>
      </c>
      <c r="F122" s="256">
        <f t="shared" si="47"/>
        <v>3.2800000000000007</v>
      </c>
      <c r="G122" s="256">
        <f t="shared" si="47"/>
        <v>5.3400000000000025</v>
      </c>
      <c r="H122" s="256">
        <f t="shared" si="47"/>
        <v>5.4500000000000028</v>
      </c>
      <c r="I122" s="256">
        <f t="shared" si="47"/>
        <v>5.3200000000000012</v>
      </c>
      <c r="J122" s="256">
        <f t="shared" si="47"/>
        <v>5.1799999999999944</v>
      </c>
      <c r="K122" s="256">
        <f t="shared" si="47"/>
        <v>5.1000000000000014</v>
      </c>
      <c r="L122" s="256">
        <f t="shared" si="47"/>
        <v>5.17</v>
      </c>
      <c r="M122" s="256" t="str">
        <f t="shared" si="47"/>
        <v/>
      </c>
      <c r="N122" s="256" t="str">
        <f t="shared" si="47"/>
        <v/>
      </c>
      <c r="O122" s="256" t="str">
        <f t="shared" si="47"/>
        <v/>
      </c>
      <c r="P122" s="256" t="str">
        <f t="shared" si="47"/>
        <v/>
      </c>
      <c r="Q122" s="256" t="str">
        <f t="shared" si="47"/>
        <v/>
      </c>
      <c r="R122" s="256" t="str">
        <f t="shared" si="47"/>
        <v/>
      </c>
      <c r="S122" s="256" t="str">
        <f t="shared" si="47"/>
        <v/>
      </c>
      <c r="T122" s="256" t="str">
        <f t="shared" si="47"/>
        <v/>
      </c>
      <c r="U122" s="256" t="str">
        <f t="shared" si="47"/>
        <v/>
      </c>
      <c r="V122" s="612"/>
    </row>
    <row r="123" spans="1:22" ht="15.75" customHeight="1" x14ac:dyDescent="0.25">
      <c r="A123" s="620" t="s">
        <v>987</v>
      </c>
      <c r="B123" s="610"/>
      <c r="C123" s="610"/>
      <c r="D123" s="610"/>
      <c r="E123" s="610"/>
      <c r="F123" s="610"/>
      <c r="G123" s="610"/>
      <c r="H123" s="610"/>
      <c r="I123" s="610"/>
      <c r="J123" s="610"/>
      <c r="K123" s="610"/>
      <c r="L123" s="610"/>
      <c r="M123" s="610"/>
      <c r="N123" s="610"/>
      <c r="O123" s="610"/>
      <c r="P123" s="610"/>
      <c r="Q123" s="610"/>
      <c r="R123" s="610"/>
      <c r="S123" s="610"/>
      <c r="T123" s="610"/>
      <c r="U123" s="610"/>
      <c r="V123" s="612"/>
    </row>
    <row r="124" spans="1:22" s="297" customFormat="1" ht="12.75" customHeight="1" x14ac:dyDescent="0.25">
      <c r="A124" s="296"/>
      <c r="B124" s="261">
        <f>B3</f>
        <v>2020</v>
      </c>
      <c r="C124" s="261">
        <f t="shared" ref="C124:O124" si="48">C3</f>
        <v>2021</v>
      </c>
      <c r="D124" s="261">
        <f t="shared" si="48"/>
        <v>2022</v>
      </c>
      <c r="E124" s="261">
        <f t="shared" si="48"/>
        <v>2023</v>
      </c>
      <c r="F124" s="261">
        <f t="shared" si="48"/>
        <v>2024</v>
      </c>
      <c r="G124" s="261">
        <f t="shared" si="48"/>
        <v>2025</v>
      </c>
      <c r="H124" s="261">
        <f t="shared" si="48"/>
        <v>2026</v>
      </c>
      <c r="I124" s="261">
        <f t="shared" si="48"/>
        <v>2027</v>
      </c>
      <c r="J124" s="261">
        <f t="shared" si="48"/>
        <v>2028</v>
      </c>
      <c r="K124" s="261">
        <f t="shared" si="48"/>
        <v>2029</v>
      </c>
      <c r="L124" s="261">
        <f t="shared" si="48"/>
        <v>2030</v>
      </c>
      <c r="M124" s="261">
        <f t="shared" si="48"/>
        <v>2031</v>
      </c>
      <c r="N124" s="261">
        <f t="shared" si="48"/>
        <v>2032</v>
      </c>
      <c r="O124" s="261">
        <f t="shared" si="48"/>
        <v>2033</v>
      </c>
      <c r="P124" s="261">
        <f t="shared" ref="P124:U124" si="49">P3</f>
        <v>2034</v>
      </c>
      <c r="Q124" s="261">
        <f t="shared" si="49"/>
        <v>2035</v>
      </c>
      <c r="R124" s="261">
        <f t="shared" si="49"/>
        <v>2036</v>
      </c>
      <c r="S124" s="261">
        <f t="shared" si="49"/>
        <v>2037</v>
      </c>
      <c r="T124" s="261">
        <f t="shared" si="49"/>
        <v>2038</v>
      </c>
      <c r="U124" s="261">
        <f t="shared" si="49"/>
        <v>2039</v>
      </c>
      <c r="V124" s="613"/>
    </row>
    <row r="125" spans="1:22" s="297" customFormat="1" ht="12.75" customHeight="1" x14ac:dyDescent="0.25">
      <c r="A125" s="296"/>
      <c r="B125" s="261" t="str">
        <f>B4</f>
        <v>AUD.</v>
      </c>
      <c r="C125" s="261" t="str">
        <f t="shared" ref="C125:O125" si="50">C4</f>
        <v>AUD.</v>
      </c>
      <c r="D125" s="261" t="str">
        <f t="shared" si="50"/>
        <v>AUD.</v>
      </c>
      <c r="E125" s="261" t="str">
        <f t="shared" si="50"/>
        <v>EST.</v>
      </c>
      <c r="F125" s="261" t="str">
        <f t="shared" si="50"/>
        <v>PROJ.</v>
      </c>
      <c r="G125" s="261" t="str">
        <f t="shared" si="50"/>
        <v>PROJ.</v>
      </c>
      <c r="H125" s="261" t="str">
        <f t="shared" si="50"/>
        <v>PROJ.</v>
      </c>
      <c r="I125" s="261" t="str">
        <f t="shared" si="50"/>
        <v>PROJ.</v>
      </c>
      <c r="J125" s="261" t="str">
        <f t="shared" si="50"/>
        <v>PROJ.</v>
      </c>
      <c r="K125" s="261" t="str">
        <f t="shared" si="50"/>
        <v>PROJ.</v>
      </c>
      <c r="L125" s="261" t="str">
        <f t="shared" si="50"/>
        <v>PROJ.</v>
      </c>
      <c r="M125" s="261" t="str">
        <f t="shared" si="50"/>
        <v>PROJ.</v>
      </c>
      <c r="N125" s="261" t="str">
        <f t="shared" si="50"/>
        <v>PROJ.</v>
      </c>
      <c r="O125" s="261" t="str">
        <f t="shared" si="50"/>
        <v>PROJ.</v>
      </c>
      <c r="P125" s="261" t="str">
        <f t="shared" ref="P125:U125" si="51">P4</f>
        <v>PROJ.</v>
      </c>
      <c r="Q125" s="261" t="str">
        <f t="shared" si="51"/>
        <v>PROJ.</v>
      </c>
      <c r="R125" s="261" t="str">
        <f t="shared" si="51"/>
        <v>PROJ.</v>
      </c>
      <c r="S125" s="261" t="str">
        <f t="shared" si="51"/>
        <v>PROJ.</v>
      </c>
      <c r="T125" s="261" t="str">
        <f t="shared" si="51"/>
        <v>PROJ.</v>
      </c>
      <c r="U125" s="261" t="str">
        <f t="shared" si="51"/>
        <v>PROJ.</v>
      </c>
      <c r="V125" s="613"/>
    </row>
    <row r="126" spans="1:22" s="303" customFormat="1" x14ac:dyDescent="0.2">
      <c r="A126" s="318" t="s">
        <v>979</v>
      </c>
      <c r="B126" s="271" t="str">
        <f>IF(Sensitivity!B3=0,"",Sensitivity!B3)</f>
        <v/>
      </c>
      <c r="C126" s="271" t="str">
        <f>IF(Sensitivity!C3=0,"",Sensitivity!C3)</f>
        <v/>
      </c>
      <c r="D126" s="271" t="str">
        <f>IF(Sensitivity!D3=0,"",Sensitivity!D3)</f>
        <v/>
      </c>
      <c r="E126" s="271" t="str">
        <f>IF(Sensitivity!E3=0,"",Sensitivity!E3)</f>
        <v/>
      </c>
      <c r="F126" s="271" t="str">
        <f>IF(Sensitivity!F3=0,"",Sensitivity!F3)</f>
        <v/>
      </c>
      <c r="G126" s="271" t="str">
        <f>IF(Sensitivity!G3=0,"",Sensitivity!G3)</f>
        <v/>
      </c>
      <c r="H126" s="271" t="str">
        <f>IF(Sensitivity!H3=0,"",Sensitivity!H3)</f>
        <v/>
      </c>
      <c r="I126" s="271" t="str">
        <f>IF(Sensitivity!I3=0,"",Sensitivity!I3)</f>
        <v/>
      </c>
      <c r="J126" s="271" t="str">
        <f>IF(Sensitivity!J3=0,"",Sensitivity!J3)</f>
        <v/>
      </c>
      <c r="K126" s="271" t="str">
        <f>IF(Sensitivity!K3=0,"",Sensitivity!K3)</f>
        <v/>
      </c>
      <c r="L126" s="271" t="str">
        <f>IF(Sensitivity!L3=0,"",Sensitivity!L3)</f>
        <v/>
      </c>
      <c r="M126" s="271" t="str">
        <f>IF(Sensitivity!M3=0,"",Sensitivity!M3)</f>
        <v/>
      </c>
      <c r="N126" s="271" t="str">
        <f>IF(Sensitivity!N3=0,"",Sensitivity!N3)</f>
        <v/>
      </c>
      <c r="O126" s="271" t="str">
        <f>IF(Sensitivity!O3=0,"",Sensitivity!O3)</f>
        <v/>
      </c>
      <c r="P126" s="271" t="str">
        <f>IF(Sensitivity!P3=0,"",Sensitivity!P3)</f>
        <v/>
      </c>
      <c r="Q126" s="271" t="str">
        <f>IF(Sensitivity!Q3=0,"",Sensitivity!Q3)</f>
        <v/>
      </c>
      <c r="R126" s="271" t="str">
        <f>IF(Sensitivity!R3=0,"",Sensitivity!R3)</f>
        <v/>
      </c>
      <c r="S126" s="271" t="str">
        <f>IF(Sensitivity!S3=0,"",Sensitivity!S3)</f>
        <v/>
      </c>
      <c r="T126" s="271" t="str">
        <f>IF(Sensitivity!T3=0,"",Sensitivity!T3)</f>
        <v/>
      </c>
      <c r="U126" s="271" t="str">
        <f>IF(Sensitivity!U3=0,"",Sensitivity!U3)</f>
        <v/>
      </c>
      <c r="V126" s="618"/>
    </row>
    <row r="127" spans="1:22" x14ac:dyDescent="0.2">
      <c r="A127" s="287" t="s">
        <v>396</v>
      </c>
      <c r="B127" s="256">
        <f>DSCR!B10</f>
        <v>0.8</v>
      </c>
      <c r="C127" s="256">
        <f>DSCR!C10</f>
        <v>1.05</v>
      </c>
      <c r="D127" s="256">
        <f>DSCR!D10</f>
        <v>2.2000000000000002</v>
      </c>
      <c r="E127" s="256">
        <f>DSCR!E10</f>
        <v>4</v>
      </c>
      <c r="F127" s="256">
        <f>DSCR!F10</f>
        <v>20</v>
      </c>
      <c r="G127" s="256">
        <f>DSCR!G10</f>
        <v>34.28</v>
      </c>
      <c r="H127" s="256">
        <f>DSCR!H10</f>
        <v>40.42</v>
      </c>
      <c r="I127" s="256">
        <f>DSCR!I10</f>
        <v>44.09</v>
      </c>
      <c r="J127" s="256">
        <f>DSCR!J10</f>
        <v>47.96</v>
      </c>
      <c r="K127" s="256">
        <f>DSCR!K10</f>
        <v>52.03</v>
      </c>
      <c r="L127" s="256">
        <f>DSCR!L10</f>
        <v>56.2</v>
      </c>
      <c r="M127" s="256" t="str">
        <f>DSCR!M10</f>
        <v/>
      </c>
      <c r="N127" s="256" t="str">
        <f>DSCR!N10</f>
        <v/>
      </c>
      <c r="O127" s="256" t="str">
        <f>DSCR!O10</f>
        <v/>
      </c>
      <c r="P127" s="256" t="str">
        <f>DSCR!P10</f>
        <v/>
      </c>
      <c r="Q127" s="256" t="str">
        <f>DSCR!Q10</f>
        <v/>
      </c>
      <c r="R127" s="256" t="str">
        <f>DSCR!R10</f>
        <v/>
      </c>
      <c r="S127" s="256" t="str">
        <f>DSCR!S10</f>
        <v/>
      </c>
      <c r="T127" s="256" t="str">
        <f>DSCR!T10</f>
        <v/>
      </c>
      <c r="U127" s="256" t="str">
        <f>DSCR!U10</f>
        <v/>
      </c>
      <c r="V127" s="612"/>
    </row>
    <row r="128" spans="1:22" x14ac:dyDescent="0.2">
      <c r="A128" s="287" t="s">
        <v>980</v>
      </c>
      <c r="B128" s="256">
        <f>DSCR!B11</f>
        <v>6.9999999999999979E-2</v>
      </c>
      <c r="C128" s="256">
        <f>DSCR!C11</f>
        <v>0.09</v>
      </c>
      <c r="D128" s="256">
        <f>DSCR!D11</f>
        <v>0.27000000000000018</v>
      </c>
      <c r="E128" s="256">
        <f>DSCR!E11</f>
        <v>0.21699999999999989</v>
      </c>
      <c r="F128" s="256">
        <f>DSCR!F11</f>
        <v>0.56000000000000028</v>
      </c>
      <c r="G128" s="256">
        <f>DSCR!G11</f>
        <v>1.1975075000000017</v>
      </c>
      <c r="H128" s="256">
        <f>DSCR!H11</f>
        <v>1.627409000000001</v>
      </c>
      <c r="I128" s="256">
        <f>DSCR!I11</f>
        <v>1.8217272499999999</v>
      </c>
      <c r="J128" s="256">
        <f>DSCR!J11</f>
        <v>2.0010794999999959</v>
      </c>
      <c r="K128" s="256">
        <f>DSCR!K11</f>
        <v>2.2184050000000006</v>
      </c>
      <c r="L128" s="256">
        <f>DSCR!L11</f>
        <v>2.5492687499999991</v>
      </c>
      <c r="M128" s="256" t="str">
        <f>DSCR!M11</f>
        <v/>
      </c>
      <c r="N128" s="256" t="str">
        <f>DSCR!N11</f>
        <v/>
      </c>
      <c r="O128" s="256" t="str">
        <f>DSCR!O11</f>
        <v/>
      </c>
      <c r="P128" s="256" t="str">
        <f>DSCR!P11</f>
        <v/>
      </c>
      <c r="Q128" s="256" t="str">
        <f>DSCR!Q11</f>
        <v/>
      </c>
      <c r="R128" s="256" t="str">
        <f>DSCR!R11</f>
        <v/>
      </c>
      <c r="S128" s="256" t="str">
        <f>DSCR!S11</f>
        <v/>
      </c>
      <c r="T128" s="256" t="str">
        <f>DSCR!T11</f>
        <v/>
      </c>
      <c r="U128" s="256" t="str">
        <f>DSCR!U11</f>
        <v/>
      </c>
      <c r="V128" s="612"/>
    </row>
    <row r="129" spans="1:22" x14ac:dyDescent="0.2">
      <c r="A129" s="287" t="s">
        <v>47</v>
      </c>
      <c r="B129" s="256" t="str">
        <f>DSCR!B12</f>
        <v/>
      </c>
      <c r="C129" s="256" t="str">
        <f>DSCR!C12</f>
        <v/>
      </c>
      <c r="D129" s="256" t="str">
        <f>DSCR!D12</f>
        <v/>
      </c>
      <c r="E129" s="256" t="str">
        <f>DSCR!E12</f>
        <v/>
      </c>
      <c r="F129" s="256" t="str">
        <f>DSCR!F12</f>
        <v/>
      </c>
      <c r="G129" s="256">
        <f>DSCR!G12</f>
        <v>3.6975075000000017</v>
      </c>
      <c r="H129" s="256">
        <f>DSCR!H12</f>
        <v>3.8074090000000012</v>
      </c>
      <c r="I129" s="256">
        <f>DSCR!I12</f>
        <v>3.7217272499999998</v>
      </c>
      <c r="J129" s="256">
        <f>DSCR!J12</f>
        <v>3.6610794999999956</v>
      </c>
      <c r="K129" s="256">
        <f>DSCR!K12</f>
        <v>3.6484050000000003</v>
      </c>
      <c r="L129" s="256">
        <f>DSCR!L12</f>
        <v>3.7892687499999989</v>
      </c>
      <c r="M129" s="256" t="str">
        <f>DSCR!M12</f>
        <v/>
      </c>
      <c r="N129" s="256" t="str">
        <f>DSCR!N12</f>
        <v/>
      </c>
      <c r="O129" s="256" t="str">
        <f>DSCR!O12</f>
        <v/>
      </c>
      <c r="P129" s="256" t="str">
        <f>DSCR!P12</f>
        <v/>
      </c>
      <c r="Q129" s="256" t="str">
        <f>DSCR!Q12</f>
        <v/>
      </c>
      <c r="R129" s="256" t="str">
        <f>DSCR!R12</f>
        <v/>
      </c>
      <c r="S129" s="256" t="str">
        <f>DSCR!S12</f>
        <v/>
      </c>
      <c r="T129" s="256" t="str">
        <f>DSCR!T12</f>
        <v/>
      </c>
      <c r="U129" s="256" t="str">
        <f>DSCR!U12</f>
        <v/>
      </c>
      <c r="V129" s="612"/>
    </row>
    <row r="130" spans="1:22" x14ac:dyDescent="0.2">
      <c r="A130" s="287" t="s">
        <v>329</v>
      </c>
      <c r="B130" s="256" t="str">
        <f>B134</f>
        <v/>
      </c>
      <c r="C130" s="256" t="str">
        <f t="shared" ref="C130:U130" si="52">C134</f>
        <v/>
      </c>
      <c r="D130" s="256" t="str">
        <f t="shared" si="52"/>
        <v/>
      </c>
      <c r="E130" s="256" t="str">
        <f t="shared" si="52"/>
        <v/>
      </c>
      <c r="F130" s="256" t="str">
        <f t="shared" si="52"/>
        <v/>
      </c>
      <c r="G130" s="256">
        <f t="shared" si="52"/>
        <v>0.91027500000000028</v>
      </c>
      <c r="H130" s="256">
        <f t="shared" si="52"/>
        <v>0.80613000000000079</v>
      </c>
      <c r="I130" s="256">
        <f t="shared" si="52"/>
        <v>0.67853250000000098</v>
      </c>
      <c r="J130" s="256">
        <f t="shared" si="52"/>
        <v>0.52231500000000097</v>
      </c>
      <c r="K130" s="256">
        <f t="shared" si="52"/>
        <v>0.34185000000000093</v>
      </c>
      <c r="L130" s="256">
        <f t="shared" si="52"/>
        <v>0.12918750000000087</v>
      </c>
      <c r="M130" s="256" t="str">
        <f t="shared" si="52"/>
        <v/>
      </c>
      <c r="N130" s="256" t="str">
        <f t="shared" si="52"/>
        <v/>
      </c>
      <c r="O130" s="256" t="str">
        <f t="shared" si="52"/>
        <v/>
      </c>
      <c r="P130" s="256" t="str">
        <f t="shared" si="52"/>
        <v/>
      </c>
      <c r="Q130" s="256" t="str">
        <f t="shared" si="52"/>
        <v/>
      </c>
      <c r="R130" s="256" t="str">
        <f t="shared" si="52"/>
        <v/>
      </c>
      <c r="S130" s="256" t="str">
        <f t="shared" si="52"/>
        <v/>
      </c>
      <c r="T130" s="256" t="str">
        <f t="shared" si="52"/>
        <v/>
      </c>
      <c r="U130" s="256" t="str">
        <f t="shared" si="52"/>
        <v/>
      </c>
      <c r="V130" s="612"/>
    </row>
    <row r="131" spans="1:22" x14ac:dyDescent="0.2">
      <c r="A131" s="287" t="s">
        <v>258</v>
      </c>
      <c r="B131" s="256" t="str">
        <f>IF(SUM(B129:B130)=0,"",SUM(B129:B130))</f>
        <v/>
      </c>
      <c r="C131" s="256" t="str">
        <f t="shared" ref="C131:U131" si="53">IF(SUM(C129:C130)=0,"",SUM(C129:C130))</f>
        <v/>
      </c>
      <c r="D131" s="256" t="str">
        <f t="shared" si="53"/>
        <v/>
      </c>
      <c r="E131" s="256" t="str">
        <f t="shared" si="53"/>
        <v/>
      </c>
      <c r="F131" s="256" t="str">
        <f t="shared" si="53"/>
        <v/>
      </c>
      <c r="G131" s="256">
        <f t="shared" si="53"/>
        <v>4.6077825000000017</v>
      </c>
      <c r="H131" s="256">
        <f t="shared" si="53"/>
        <v>4.6135390000000021</v>
      </c>
      <c r="I131" s="256">
        <f t="shared" si="53"/>
        <v>4.4002597500000009</v>
      </c>
      <c r="J131" s="256">
        <f t="shared" si="53"/>
        <v>4.1833944999999968</v>
      </c>
      <c r="K131" s="256">
        <f t="shared" si="53"/>
        <v>3.9902550000000012</v>
      </c>
      <c r="L131" s="256">
        <f t="shared" si="53"/>
        <v>3.9184562499999998</v>
      </c>
      <c r="M131" s="256" t="str">
        <f t="shared" si="53"/>
        <v/>
      </c>
      <c r="N131" s="256" t="str">
        <f t="shared" si="53"/>
        <v/>
      </c>
      <c r="O131" s="256" t="str">
        <f t="shared" si="53"/>
        <v/>
      </c>
      <c r="P131" s="256" t="str">
        <f t="shared" si="53"/>
        <v/>
      </c>
      <c r="Q131" s="256" t="str">
        <f t="shared" si="53"/>
        <v/>
      </c>
      <c r="R131" s="256" t="str">
        <f t="shared" si="53"/>
        <v/>
      </c>
      <c r="S131" s="256" t="str">
        <f t="shared" si="53"/>
        <v/>
      </c>
      <c r="T131" s="256" t="str">
        <f t="shared" si="53"/>
        <v/>
      </c>
      <c r="U131" s="256" t="str">
        <f t="shared" si="53"/>
        <v/>
      </c>
      <c r="V131" s="612"/>
    </row>
    <row r="132" spans="1:22" x14ac:dyDescent="0.2">
      <c r="A132" s="287" t="s">
        <v>984</v>
      </c>
      <c r="B132" s="256" t="str">
        <f>IF('INTT &amp; REPAY'!$B$31+'INTT &amp; REPAY'!$D$31+'INTT &amp; REPAY'!$F$31=0,"",'INTT &amp; REPAY'!$B$31+'INTT &amp; REPAY'!$D$31+'INTT &amp; REPAY'!$F$31)</f>
        <v/>
      </c>
      <c r="C132" s="256" t="str">
        <f>IF('INTT &amp; REPAY'!$B$45+'INTT &amp; REPAY'!$D$45+'INTT &amp; REPAY'!$F$45=0,"",'INTT &amp; REPAY'!$B$45+'INTT &amp; REPAY'!$D$45+'INTT &amp; REPAY'!$F$45)</f>
        <v/>
      </c>
      <c r="D132" s="256" t="str">
        <f>IF('INTT &amp; REPAY'!$B$59+'INTT &amp; REPAY'!$D$59+'INTT &amp; REPAY'!$F$59=0,"",'INTT &amp; REPAY'!$B$59+'INTT &amp; REPAY'!$D$59+'INTT &amp; REPAY'!$F$59)</f>
        <v/>
      </c>
      <c r="E132" s="256" t="str">
        <f>IF('INTT &amp; REPAY'!$B$73+'INTT &amp; REPAY'!$D$73+'INTT &amp; REPAY'!$F$73=0,"",'INTT &amp; REPAY'!$B$73+'INTT &amp; REPAY'!$D$73+'INTT &amp; REPAY'!$F$73)</f>
        <v/>
      </c>
      <c r="F132" s="256" t="str">
        <f>IF('INTT &amp; REPAY'!$B$87+'INTT &amp; REPAY'!$D$87+'INTT &amp; REPAY'!$F$87=0,"",'INTT &amp; REPAY'!$B$87+'INTT &amp; REPAY'!$D$87+'INTT &amp; REPAY'!$F$87)</f>
        <v/>
      </c>
      <c r="G132" s="256" t="str">
        <f>IF('INTT &amp; REPAY'!$B$101+'INTT &amp; REPAY'!$D$101+'INTT &amp; REPAY'!$F$101=0,"",'INTT &amp; REPAY'!$B$101+'INTT &amp; REPAY'!$D$101+'INTT &amp; REPAY'!$F$101)</f>
        <v/>
      </c>
      <c r="H132" s="256" t="str">
        <f>IF('INTT &amp; REPAY'!$B$115+'INTT &amp; REPAY'!$D$115+'INTT &amp; REPAY'!$F$115=0,"",'INTT &amp; REPAY'!$B$115+'INTT &amp; REPAY'!$D$115+'INTT &amp; REPAY'!$F$115)</f>
        <v/>
      </c>
      <c r="I132" s="256" t="str">
        <f>IF('INTT &amp; REPAY'!$B$129+'INTT &amp; REPAY'!$D$129+'INTT &amp; REPAY'!$F$129=0,"",'INTT &amp; REPAY'!$B$129+'INTT &amp; REPAY'!$D$129+'INTT &amp; REPAY'!$F$129)</f>
        <v/>
      </c>
      <c r="J132" s="256" t="str">
        <f>IF('INTT &amp; REPAY'!$B$143+'INTT &amp; REPAY'!$D$143+'INTT &amp; REPAY'!$F$143=0,"",'INTT &amp; REPAY'!$B$143+'INTT &amp; REPAY'!$D$143+'INTT &amp; REPAY'!$F$143)</f>
        <v/>
      </c>
      <c r="K132" s="256" t="str">
        <f>IF('INTT &amp; REPAY'!$B$157+'INTT &amp; REPAY'!$D$157+'INTT &amp; REPAY'!$F$157=0,"",'INTT &amp; REPAY'!$B$157+'INTT &amp; REPAY'!$D$157+'INTT &amp; REPAY'!$F$157)</f>
        <v/>
      </c>
      <c r="L132" s="256" t="str">
        <f>IF('INTT &amp; REPAY'!$B$171+'INTT &amp; REPAY'!$D$171+'INTT &amp; REPAY'!$F$171=0,"",'INTT &amp; REPAY'!$B$171+'INTT &amp; REPAY'!$D$171+'INTT &amp; REPAY'!$F$171)</f>
        <v/>
      </c>
      <c r="M132" s="256" t="str">
        <f>IF('INTT &amp; REPAY'!$B$185+'INTT &amp; REPAY'!$D$185+'INTT &amp; REPAY'!$F$185=0,"",'INTT &amp; REPAY'!$B$185+'INTT &amp; REPAY'!$D$185+'INTT &amp; REPAY'!$F$185)</f>
        <v/>
      </c>
      <c r="N132" s="256" t="str">
        <f>IF('INTT &amp; REPAY'!$B$199+'INTT &amp; REPAY'!$D$199+'INTT &amp; REPAY'!$F$199=0,"",'INTT &amp; REPAY'!$B$199+'INTT &amp; REPAY'!$D$199+'INTT &amp; REPAY'!$F$199)</f>
        <v/>
      </c>
      <c r="O132" s="256" t="str">
        <f>IF('INTT &amp; REPAY'!$B$213+'INTT &amp; REPAY'!$D$213+'INTT &amp; REPAY'!$F$213=0,"",'INTT &amp; REPAY'!$B$213+'INTT &amp; REPAY'!$D$213+'INTT &amp; REPAY'!$F$213)</f>
        <v/>
      </c>
      <c r="P132" s="256" t="str">
        <f>IF('INTT &amp; REPAY'!$B$227+'INTT &amp; REPAY'!$D$227+'INTT &amp; REPAY'!$F$227=0,"",'INTT &amp; REPAY'!$B$227+'INTT &amp; REPAY'!$D$227+'INTT &amp; REPAY'!$F$227)</f>
        <v/>
      </c>
      <c r="Q132" s="256" t="str">
        <f>IF('INTT &amp; REPAY'!$B$241+'INTT &amp; REPAY'!$D$241+'INTT &amp; REPAY'!$F$241=0,"",'INTT &amp; REPAY'!$B$241+'INTT &amp; REPAY'!$D$241+'INTT &amp; REPAY'!$F$241)</f>
        <v/>
      </c>
      <c r="R132" s="256" t="str">
        <f>IF('INTT &amp; REPAY'!$B$255+'INTT &amp; REPAY'!$D$255+'INTT &amp; REPAY'!$F$255=0,"",'INTT &amp; REPAY'!$B$255+'INTT &amp; REPAY'!$D$255+'INTT &amp; REPAY'!$F$255)</f>
        <v/>
      </c>
      <c r="S132" s="256" t="str">
        <f>IF('INTT &amp; REPAY'!$B$269+'INTT &amp; REPAY'!$D$269+'INTT &amp; REPAY'!$F$269=0,"",'INTT &amp; REPAY'!$B$269+'INTT &amp; REPAY'!$D$269+'INTT &amp; REPAY'!$F$269)</f>
        <v/>
      </c>
      <c r="T132" s="256" t="str">
        <f>IF('INTT &amp; REPAY'!$B$283+'INTT &amp; REPAY'!$D$283+'INTT &amp; REPAY'!$F$283=0,"",'INTT &amp; REPAY'!$B$283+'INTT &amp; REPAY'!$D$283+'INTT &amp; REPAY'!$F$283)</f>
        <v/>
      </c>
      <c r="U132" s="256" t="str">
        <f>IF('INTT &amp; REPAY'!$B$297+'INTT &amp; REPAY'!$D$297+'INTT &amp; REPAY'!$F$297=0,"",'INTT &amp; REPAY'!$B$297+'INTT &amp; REPAY'!$D$297+'INTT &amp; REPAY'!$F$297)</f>
        <v/>
      </c>
      <c r="V132" s="610">
        <f>SUM(B132:U132)</f>
        <v>0</v>
      </c>
    </row>
    <row r="133" spans="1:22" x14ac:dyDescent="0.2">
      <c r="A133" s="287" t="s">
        <v>985</v>
      </c>
      <c r="B133" s="256" t="str">
        <f>IF('INTT &amp; REPAY'!$H$31+'INTT &amp; REPAY'!$K$31=0,"",'INTT &amp; REPAY'!$H$31+'INTT &amp; REPAY'!$K$31)</f>
        <v/>
      </c>
      <c r="C133" s="256" t="str">
        <f>IF('INTT &amp; REPAY'!$H$45+'INTT &amp; REPAY'!$K$45=0,"",'INTT &amp; REPAY'!$H$45+'INTT &amp; REPAY'!$K$45)</f>
        <v/>
      </c>
      <c r="D133" s="256" t="str">
        <f>IF('INTT &amp; REPAY'!$H$59+'INTT &amp; REPAY'!$K$59=0,"",'INTT &amp; REPAY'!$H$59+'INTT &amp; REPAY'!$K$59)</f>
        <v/>
      </c>
      <c r="E133" s="256" t="str">
        <f>IF('INTT &amp; REPAY'!$H$73+'INTT &amp; REPAY'!$K$73=0,"",'INTT &amp; REPAY'!$H$73+'INTT &amp; REPAY'!$K$73)</f>
        <v/>
      </c>
      <c r="F133" s="256" t="str">
        <f>IF('INTT &amp; REPAY'!$H$87+'INTT &amp; REPAY'!$K$87=0,"",'INTT &amp; REPAY'!$H$87+'INTT &amp; REPAY'!$K$87)</f>
        <v/>
      </c>
      <c r="G133" s="256">
        <f>IF('INTT &amp; REPAY'!$H$101+'INTT &amp; REPAY'!$K$101=0,"",'INTT &amp; REPAY'!$H$101+'INTT &amp; REPAY'!$K$101)</f>
        <v>1.2</v>
      </c>
      <c r="H133" s="256">
        <f>IF('INTT &amp; REPAY'!$H$115+'INTT &amp; REPAY'!$K$115=0,"",'INTT &amp; REPAY'!$H$115+'INTT &amp; REPAY'!$K$115)</f>
        <v>1.4400000000000004</v>
      </c>
      <c r="I133" s="256">
        <f>IF('INTT &amp; REPAY'!$H$129+'INTT &amp; REPAY'!$K$129=0,"",'INTT &amp; REPAY'!$H$129+'INTT &amp; REPAY'!$K$129)</f>
        <v>1.7999999999999996</v>
      </c>
      <c r="J133" s="256">
        <f>IF('INTT &amp; REPAY'!$H$143+'INTT &amp; REPAY'!$K$143=0,"",'INTT &amp; REPAY'!$H$143+'INTT &amp; REPAY'!$K$143)</f>
        <v>2.1599999999999997</v>
      </c>
      <c r="K133" s="256">
        <f>IF('INTT &amp; REPAY'!$H$157+'INTT &amp; REPAY'!$K$157=0,"",'INTT &amp; REPAY'!$H$157+'INTT &amp; REPAY'!$K$157)</f>
        <v>2.4</v>
      </c>
      <c r="L133" s="256">
        <f>IF('INTT &amp; REPAY'!$H$171+'INTT &amp; REPAY'!$K$171=0,"",'INTT &amp; REPAY'!$H$171+'INTT &amp; REPAY'!$K$171)</f>
        <v>3</v>
      </c>
      <c r="M133" s="256" t="str">
        <f>IF('INTT &amp; REPAY'!$H$185+'INTT &amp; REPAY'!$K$185=0,"",'INTT &amp; REPAY'!$H$185+'INTT &amp; REPAY'!$K$185)</f>
        <v/>
      </c>
      <c r="N133" s="256" t="str">
        <f>IF('INTT &amp; REPAY'!$H$199+'INTT &amp; REPAY'!$K$199=0,"",'INTT &amp; REPAY'!$H$199+'INTT &amp; REPAY'!$K$199)</f>
        <v/>
      </c>
      <c r="O133" s="256" t="str">
        <f>IF('INTT &amp; REPAY'!$H$213+'INTT &amp; REPAY'!$K$213=0,"",'INTT &amp; REPAY'!$H$213+'INTT &amp; REPAY'!$K$213)</f>
        <v/>
      </c>
      <c r="P133" s="256" t="str">
        <f>IF('INTT &amp; REPAY'!$H$227+'INTT &amp; REPAY'!$K$227=0,"",'INTT &amp; REPAY'!$H$227+'INTT &amp; REPAY'!$K$227)</f>
        <v/>
      </c>
      <c r="Q133" s="256" t="str">
        <f>IF('INTT &amp; REPAY'!$H$241+'INTT &amp; REPAY'!$K$241=0,"",'INTT &amp; REPAY'!$H$241+'INTT &amp; REPAY'!$K$241)</f>
        <v/>
      </c>
      <c r="R133" s="256" t="str">
        <f>IF('INTT &amp; REPAY'!$H$255+'INTT &amp; REPAY'!$K$255=0,"",'INTT &amp; REPAY'!$H$255+'INTT &amp; REPAY'!$K$255)</f>
        <v/>
      </c>
      <c r="S133" s="256" t="str">
        <f>IF('INTT &amp; REPAY'!$H$269+'INTT &amp; REPAY'!$K$269=0,"",'INTT &amp; REPAY'!$H$269+'INTT &amp; REPAY'!$K$269)</f>
        <v/>
      </c>
      <c r="T133" s="256" t="str">
        <f>IF('INTT &amp; REPAY'!$H$283+'INTT &amp; REPAY'!$K$283=0,"",'INTT &amp; REPAY'!$H$283+'INTT &amp; REPAY'!$K$283)</f>
        <v/>
      </c>
      <c r="U133" s="256" t="str">
        <f>IF('INTT &amp; REPAY'!$H$297+'INTT &amp; REPAY'!$K$297=0,"",'INTT &amp; REPAY'!$H$297+'INTT &amp; REPAY'!$K$297)</f>
        <v/>
      </c>
      <c r="V133" s="885">
        <f>SUM(B133:U133)</f>
        <v>12</v>
      </c>
    </row>
    <row r="134" spans="1:22" ht="15" x14ac:dyDescent="0.25">
      <c r="A134" s="287" t="s">
        <v>986</v>
      </c>
      <c r="B134" s="256" t="str">
        <f>DSCR!B13</f>
        <v/>
      </c>
      <c r="C134" s="256" t="str">
        <f>DSCR!C13</f>
        <v/>
      </c>
      <c r="D134" s="256" t="str">
        <f>DSCR!D13</f>
        <v/>
      </c>
      <c r="E134" s="256" t="str">
        <f>DSCR!E13</f>
        <v/>
      </c>
      <c r="F134" s="256" t="str">
        <f>DSCR!F13</f>
        <v/>
      </c>
      <c r="G134" s="256">
        <f>DSCR!G13</f>
        <v>0.91027500000000028</v>
      </c>
      <c r="H134" s="256">
        <f>DSCR!H13</f>
        <v>0.80613000000000079</v>
      </c>
      <c r="I134" s="256">
        <f>DSCR!I13</f>
        <v>0.67853250000000098</v>
      </c>
      <c r="J134" s="256">
        <f>DSCR!J13</f>
        <v>0.52231500000000097</v>
      </c>
      <c r="K134" s="256">
        <f>DSCR!K13</f>
        <v>0.34185000000000093</v>
      </c>
      <c r="L134" s="256">
        <f>DSCR!L13</f>
        <v>0.12918750000000087</v>
      </c>
      <c r="M134" s="256" t="str">
        <f>DSCR!M13</f>
        <v/>
      </c>
      <c r="N134" s="256" t="str">
        <f>DSCR!N13</f>
        <v/>
      </c>
      <c r="O134" s="256" t="str">
        <f>DSCR!O13</f>
        <v/>
      </c>
      <c r="P134" s="256" t="str">
        <f>DSCR!P13</f>
        <v/>
      </c>
      <c r="Q134" s="256" t="str">
        <f>DSCR!Q13</f>
        <v/>
      </c>
      <c r="R134" s="256" t="str">
        <f>DSCR!R13</f>
        <v/>
      </c>
      <c r="S134" s="256" t="str">
        <f>DSCR!S13</f>
        <v/>
      </c>
      <c r="T134" s="256" t="str">
        <f>DSCR!T13</f>
        <v/>
      </c>
      <c r="U134" s="256" t="str">
        <f>DSCR!U13</f>
        <v/>
      </c>
      <c r="V134" s="886">
        <f>SUM(V132:V133)</f>
        <v>12</v>
      </c>
    </row>
    <row r="135" spans="1:22" x14ac:dyDescent="0.2">
      <c r="A135" s="287" t="s">
        <v>981</v>
      </c>
      <c r="B135" s="256" t="str">
        <f>DSCR!B17</f>
        <v/>
      </c>
      <c r="C135" s="256" t="str">
        <f>DSCR!C17</f>
        <v/>
      </c>
      <c r="D135" s="256" t="str">
        <f>DSCR!D17</f>
        <v/>
      </c>
      <c r="E135" s="256" t="str">
        <f>DSCR!E17</f>
        <v/>
      </c>
      <c r="F135" s="256" t="str">
        <f>DSCR!F17</f>
        <v/>
      </c>
      <c r="G135" s="256">
        <f>DSCR!G17</f>
        <v>2.1834985961545303</v>
      </c>
      <c r="H135" s="256">
        <f>DSCR!H17</f>
        <v>2.0539946485733238</v>
      </c>
      <c r="I135" s="256">
        <f>DSCR!I17</f>
        <v>1.7753488203200887</v>
      </c>
      <c r="J135" s="256">
        <f>DSCR!J17</f>
        <v>1.5596208871814068</v>
      </c>
      <c r="K135" s="256">
        <f>DSCR!K17</f>
        <v>1.4553148421686088</v>
      </c>
      <c r="L135" s="256">
        <f>DSCR!L17</f>
        <v>1.2522280144606224</v>
      </c>
      <c r="M135" s="256" t="str">
        <f>DSCR!M17</f>
        <v/>
      </c>
      <c r="N135" s="256" t="str">
        <f>DSCR!N17</f>
        <v/>
      </c>
      <c r="O135" s="256" t="str">
        <f>DSCR!O17</f>
        <v/>
      </c>
      <c r="P135" s="256" t="str">
        <f>DSCR!P17</f>
        <v/>
      </c>
      <c r="Q135" s="256" t="str">
        <f>DSCR!Q17</f>
        <v/>
      </c>
      <c r="R135" s="256" t="str">
        <f>DSCR!R17</f>
        <v/>
      </c>
      <c r="S135" s="256" t="str">
        <f>DSCR!S17</f>
        <v/>
      </c>
      <c r="T135" s="256" t="str">
        <f>DSCR!T17</f>
        <v/>
      </c>
      <c r="U135" s="256" t="str">
        <f>DSCR!U17</f>
        <v/>
      </c>
      <c r="V135" s="612"/>
    </row>
    <row r="136" spans="1:22" ht="15" x14ac:dyDescent="0.25">
      <c r="A136" s="287" t="s">
        <v>982</v>
      </c>
      <c r="B136" s="256" t="str">
        <f>IF(DSCR!B18="","",DSCR!B18)</f>
        <v/>
      </c>
      <c r="C136" s="256" t="str">
        <f>IF(DSCR!C18="","",DSCR!C18)</f>
        <v/>
      </c>
      <c r="D136" s="256" t="str">
        <f>IF(DSCR!D18="","",DSCR!D18)</f>
        <v/>
      </c>
      <c r="E136" s="256" t="str">
        <f>IF(DSCR!E18="","",DSCR!E18)</f>
        <v/>
      </c>
      <c r="F136" s="256" t="str">
        <f>IF(DSCR!F18="","",DSCR!F18)</f>
        <v/>
      </c>
      <c r="G136" s="256" t="str">
        <f>IF(DSCR!G18="","",DSCR!G18)</f>
        <v/>
      </c>
      <c r="H136" s="281">
        <f>IF(DSCR!H18="","",DSCR!H18)</f>
        <v>1.670990538909781</v>
      </c>
      <c r="I136" s="256" t="str">
        <f>IF(DSCR!I18="","",DSCR!I18)</f>
        <v/>
      </c>
      <c r="J136" s="256" t="str">
        <f>IF(DSCR!J18="","",DSCR!J18)</f>
        <v/>
      </c>
      <c r="K136" s="256" t="str">
        <f>IF(DSCR!K18="","",DSCR!K18)</f>
        <v/>
      </c>
      <c r="L136" s="256" t="str">
        <f>IF(DSCR!L18="","",DSCR!L18)</f>
        <v/>
      </c>
      <c r="M136" s="256" t="str">
        <f>IF(DSCR!M18="","",DSCR!M18)</f>
        <v/>
      </c>
      <c r="N136" s="256" t="str">
        <f>IF(DSCR!N18="","",DSCR!N18)</f>
        <v/>
      </c>
      <c r="O136" s="256" t="str">
        <f>IF(DSCR!O18="","",DSCR!O18)</f>
        <v/>
      </c>
      <c r="P136" s="256" t="str">
        <f>IF(DSCR!P18="","",DSCR!P18)</f>
        <v/>
      </c>
      <c r="Q136" s="256" t="str">
        <f>IF(DSCR!Q18="","",DSCR!Q18)</f>
        <v/>
      </c>
      <c r="R136" s="256" t="str">
        <f>IF(DSCR!R18="","",DSCR!R18)</f>
        <v/>
      </c>
      <c r="S136" s="256" t="str">
        <f>IF(DSCR!S18="","",DSCR!S18)</f>
        <v/>
      </c>
      <c r="T136" s="256" t="str">
        <f>IF(DSCR!T18="","",DSCR!T18)</f>
        <v/>
      </c>
      <c r="U136" s="256" t="str">
        <f>IF(DSCR!U18="","",DSCR!U18)</f>
        <v/>
      </c>
      <c r="V136" s="612"/>
    </row>
    <row r="137" spans="1:22" x14ac:dyDescent="0.2">
      <c r="A137" s="287" t="s">
        <v>983</v>
      </c>
      <c r="B137" s="256" t="str">
        <f>DSCR!B19</f>
        <v/>
      </c>
      <c r="C137" s="256" t="str">
        <f>DSCR!C19</f>
        <v/>
      </c>
      <c r="D137" s="256" t="str">
        <f>DSCR!D19</f>
        <v/>
      </c>
      <c r="E137" s="256" t="str">
        <f>DSCR!E19</f>
        <v/>
      </c>
      <c r="F137" s="256" t="str">
        <f>DSCR!F19</f>
        <v/>
      </c>
      <c r="G137" s="256">
        <f>DSCR!G19</f>
        <v>3.0812562500000014</v>
      </c>
      <c r="H137" s="256">
        <f>DSCR!H19</f>
        <v>2.6440340277777779</v>
      </c>
      <c r="I137" s="256">
        <f>DSCR!I19</f>
        <v>2.0676262500000004</v>
      </c>
      <c r="J137" s="256">
        <f>DSCR!J19</f>
        <v>1.6949442129629613</v>
      </c>
      <c r="K137" s="256">
        <f>DSCR!K19</f>
        <v>1.5201687500000003</v>
      </c>
      <c r="L137" s="256">
        <f>DSCR!L19</f>
        <v>1.2630895833333329</v>
      </c>
      <c r="M137" s="256" t="str">
        <f>DSCR!M19</f>
        <v/>
      </c>
      <c r="N137" s="256" t="str">
        <f>DSCR!N19</f>
        <v/>
      </c>
      <c r="O137" s="256" t="str">
        <f>DSCR!O19</f>
        <v/>
      </c>
      <c r="P137" s="256" t="str">
        <f>DSCR!P19</f>
        <v/>
      </c>
      <c r="Q137" s="256" t="str">
        <f>DSCR!Q19</f>
        <v/>
      </c>
      <c r="R137" s="256" t="str">
        <f>DSCR!R19</f>
        <v/>
      </c>
      <c r="S137" s="256" t="str">
        <f>DSCR!S19</f>
        <v/>
      </c>
      <c r="T137" s="256" t="str">
        <f>DSCR!T19</f>
        <v/>
      </c>
      <c r="U137" s="256" t="str">
        <f>DSCR!U19</f>
        <v/>
      </c>
      <c r="V137" s="612"/>
    </row>
    <row r="138" spans="1:22" ht="15" x14ac:dyDescent="0.25">
      <c r="A138" s="631" t="s">
        <v>464</v>
      </c>
      <c r="B138" s="610"/>
      <c r="C138" s="610"/>
      <c r="D138" s="610"/>
      <c r="E138" s="610"/>
      <c r="F138" s="610"/>
      <c r="G138" s="610"/>
      <c r="H138" s="610"/>
      <c r="I138" s="610"/>
      <c r="J138" s="610"/>
      <c r="K138" s="610"/>
      <c r="L138" s="610"/>
      <c r="M138" s="610"/>
      <c r="N138" s="610"/>
      <c r="O138" s="610"/>
      <c r="P138" s="610"/>
      <c r="Q138" s="610"/>
      <c r="R138" s="610"/>
      <c r="S138" s="610"/>
      <c r="T138" s="610"/>
      <c r="U138" s="610"/>
      <c r="V138" s="612"/>
    </row>
    <row r="139" spans="1:22" ht="15" x14ac:dyDescent="0.25">
      <c r="A139" s="620" t="s">
        <v>465</v>
      </c>
      <c r="B139" s="610"/>
      <c r="C139" s="610"/>
      <c r="D139" s="610"/>
      <c r="E139" s="610"/>
      <c r="F139" s="610"/>
      <c r="G139" s="610"/>
      <c r="H139" s="610"/>
      <c r="I139" s="610"/>
      <c r="J139" s="610"/>
      <c r="K139" s="610"/>
      <c r="L139" s="610"/>
      <c r="M139" s="610"/>
      <c r="N139" s="610"/>
      <c r="O139" s="610"/>
      <c r="P139" s="610"/>
      <c r="Q139" s="610"/>
      <c r="R139" s="610"/>
      <c r="S139" s="610"/>
      <c r="T139" s="610"/>
      <c r="U139" s="610"/>
      <c r="V139" s="612"/>
    </row>
    <row r="140" spans="1:22" s="297" customFormat="1" ht="12.75" customHeight="1" x14ac:dyDescent="0.25">
      <c r="A140" s="296"/>
      <c r="B140" s="261">
        <f>B3</f>
        <v>2020</v>
      </c>
      <c r="C140" s="261">
        <f t="shared" ref="C140:O140" si="54">C3</f>
        <v>2021</v>
      </c>
      <c r="D140" s="261">
        <f t="shared" si="54"/>
        <v>2022</v>
      </c>
      <c r="E140" s="261">
        <f t="shared" si="54"/>
        <v>2023</v>
      </c>
      <c r="F140" s="261">
        <f t="shared" si="54"/>
        <v>2024</v>
      </c>
      <c r="G140" s="261">
        <f t="shared" si="54"/>
        <v>2025</v>
      </c>
      <c r="H140" s="261">
        <f t="shared" si="54"/>
        <v>2026</v>
      </c>
      <c r="I140" s="261">
        <f t="shared" si="54"/>
        <v>2027</v>
      </c>
      <c r="J140" s="261">
        <f t="shared" si="54"/>
        <v>2028</v>
      </c>
      <c r="K140" s="261">
        <f t="shared" si="54"/>
        <v>2029</v>
      </c>
      <c r="L140" s="261">
        <f t="shared" si="54"/>
        <v>2030</v>
      </c>
      <c r="M140" s="261">
        <f t="shared" si="54"/>
        <v>2031</v>
      </c>
      <c r="N140" s="261">
        <f t="shared" si="54"/>
        <v>2032</v>
      </c>
      <c r="O140" s="261">
        <f t="shared" si="54"/>
        <v>2033</v>
      </c>
      <c r="P140" s="261">
        <f t="shared" ref="P140:U140" si="55">P3</f>
        <v>2034</v>
      </c>
      <c r="Q140" s="261">
        <f t="shared" si="55"/>
        <v>2035</v>
      </c>
      <c r="R140" s="261">
        <f t="shared" si="55"/>
        <v>2036</v>
      </c>
      <c r="S140" s="261">
        <f t="shared" si="55"/>
        <v>2037</v>
      </c>
      <c r="T140" s="261">
        <f t="shared" si="55"/>
        <v>2038</v>
      </c>
      <c r="U140" s="261">
        <f t="shared" si="55"/>
        <v>2039</v>
      </c>
      <c r="V140" s="613"/>
    </row>
    <row r="141" spans="1:22" s="297" customFormat="1" ht="12.75" customHeight="1" x14ac:dyDescent="0.25">
      <c r="A141" s="296"/>
      <c r="B141" s="261" t="str">
        <f>B116</f>
        <v>AUD.</v>
      </c>
      <c r="C141" s="261" t="str">
        <f t="shared" ref="C141:O141" si="56">C116</f>
        <v>AUD.</v>
      </c>
      <c r="D141" s="261" t="str">
        <f t="shared" si="56"/>
        <v>AUD.</v>
      </c>
      <c r="E141" s="261" t="str">
        <f t="shared" si="56"/>
        <v>EST.</v>
      </c>
      <c r="F141" s="261" t="str">
        <f t="shared" si="56"/>
        <v>PROJ.</v>
      </c>
      <c r="G141" s="261" t="str">
        <f t="shared" si="56"/>
        <v>PROJ.</v>
      </c>
      <c r="H141" s="261" t="str">
        <f t="shared" si="56"/>
        <v>PROJ.</v>
      </c>
      <c r="I141" s="261" t="str">
        <f t="shared" si="56"/>
        <v>PROJ.</v>
      </c>
      <c r="J141" s="261" t="str">
        <f t="shared" si="56"/>
        <v>PROJ.</v>
      </c>
      <c r="K141" s="261" t="str">
        <f t="shared" si="56"/>
        <v>PROJ.</v>
      </c>
      <c r="L141" s="261" t="str">
        <f t="shared" si="56"/>
        <v>PROJ.</v>
      </c>
      <c r="M141" s="261" t="str">
        <f t="shared" si="56"/>
        <v>PROJ.</v>
      </c>
      <c r="N141" s="261" t="str">
        <f t="shared" si="56"/>
        <v>PROJ.</v>
      </c>
      <c r="O141" s="261" t="str">
        <f t="shared" si="56"/>
        <v>PROJ.</v>
      </c>
      <c r="P141" s="261" t="str">
        <f t="shared" ref="P141:U141" si="57">P116</f>
        <v>PROJ.</v>
      </c>
      <c r="Q141" s="261" t="str">
        <f t="shared" si="57"/>
        <v>PROJ.</v>
      </c>
      <c r="R141" s="261" t="str">
        <f t="shared" si="57"/>
        <v>PROJ.</v>
      </c>
      <c r="S141" s="261" t="str">
        <f t="shared" si="57"/>
        <v>PROJ.</v>
      </c>
      <c r="T141" s="261" t="str">
        <f t="shared" si="57"/>
        <v>PROJ.</v>
      </c>
      <c r="U141" s="261" t="str">
        <f t="shared" si="57"/>
        <v>PROJ.</v>
      </c>
      <c r="V141" s="613"/>
    </row>
    <row r="142" spans="1:22" s="315" customFormat="1" ht="14.25" customHeight="1" x14ac:dyDescent="0.2">
      <c r="A142" s="314" t="s">
        <v>407</v>
      </c>
      <c r="B142" s="272" t="str">
        <f>IF(ISERROR(Asset!C31),"",IF(Asset!C31=0,"",Asset!C31))</f>
        <v/>
      </c>
      <c r="C142" s="272" t="str">
        <f>IF(ISERROR(Asset!D31),"",IF(Asset!D31=0,"",Asset!D31))</f>
        <v/>
      </c>
      <c r="D142" s="272" t="str">
        <f>IF(ISERROR(Asset!E31),"",IF(Asset!E31=0,"",Asset!E31))</f>
        <v/>
      </c>
      <c r="E142" s="272" t="str">
        <f>IF(ISERROR(Asset!F31),"",IF(Asset!F31=0,"",Asset!F31))</f>
        <v/>
      </c>
      <c r="F142" s="272" t="str">
        <f>IF(ISERROR(Asset!G31),"",IF(Asset!G31=0,"",Asset!G31))</f>
        <v/>
      </c>
      <c r="G142" s="272" t="str">
        <f>IF(ISERROR(Asset!H31),"",IF(Asset!H31=0,"",Asset!H31))</f>
        <v/>
      </c>
      <c r="H142" s="272" t="str">
        <f>IF(ISERROR(Asset!I31),"",IF(Asset!I31=0,"",Asset!I31))</f>
        <v/>
      </c>
      <c r="I142" s="272" t="str">
        <f>IF(ISERROR(Asset!J31),"",IF(Asset!J31=0,"",Asset!J31))</f>
        <v/>
      </c>
      <c r="J142" s="272" t="str">
        <f>IF(ISERROR(Asset!K31),"",IF(Asset!K31=0,"",Asset!K31))</f>
        <v/>
      </c>
      <c r="K142" s="272" t="str">
        <f>IF(ISERROR(Asset!L31),"",IF(Asset!L31=0,"",Asset!L31))</f>
        <v/>
      </c>
      <c r="L142" s="272" t="str">
        <f>IF(ISERROR(Asset!M31),"",IF(Asset!M31=0,"",Asset!M31))</f>
        <v/>
      </c>
      <c r="M142" s="272" t="str">
        <f>IF(ISERROR(Asset!N31),"",IF(Asset!N31=0,"",Asset!N31))</f>
        <v/>
      </c>
      <c r="N142" s="272" t="str">
        <f>IF(ISERROR(Asset!O31),"",IF(Asset!O31=0,"",Asset!O31))</f>
        <v/>
      </c>
      <c r="O142" s="272" t="str">
        <f>IF(ISERROR(Asset!P31),"",IF(Asset!P31=0,"",Asset!P31))</f>
        <v/>
      </c>
      <c r="P142" s="272" t="str">
        <f>IF(ISERROR(Asset!Q31),"",IF(Asset!Q31=0,"",Asset!Q31))</f>
        <v/>
      </c>
      <c r="Q142" s="272" t="str">
        <f>IF(ISERROR(Asset!R31),"",IF(Asset!R31=0,"",Asset!R31))</f>
        <v/>
      </c>
      <c r="R142" s="272" t="str">
        <f>IF(ISERROR(Asset!S31),"",IF(Asset!S31=0,"",Asset!S31))</f>
        <v/>
      </c>
      <c r="S142" s="272" t="str">
        <f>IF(ISERROR(Asset!T31),"",IF(Asset!T31=0,"",Asset!T31))</f>
        <v/>
      </c>
      <c r="T142" s="272" t="str">
        <f>IF(ISERROR(Asset!U31),"",IF(Asset!U31=0,"",Asset!U31))</f>
        <v/>
      </c>
      <c r="U142" s="272" t="str">
        <f>IF(ISERROR(Asset!V31),"",IF(Asset!V31=0,"",Asset!V31))</f>
        <v/>
      </c>
      <c r="V142" s="623"/>
    </row>
    <row r="143" spans="1:22" s="297" customFormat="1" ht="14.25" customHeight="1" x14ac:dyDescent="0.25">
      <c r="A143" s="316" t="s">
        <v>408</v>
      </c>
      <c r="B143" s="273" t="str">
        <f>IF(ISERROR(B142/'Oper.St.'!C32*365),"",IF(B142/'Oper.St.'!C32*365=0,"",B142/'Oper.St.'!C32*365))</f>
        <v/>
      </c>
      <c r="C143" s="273" t="str">
        <f>IF(ISERROR(C142/'Oper.St.'!D32*365),"",IF(C142/'Oper.St.'!D32*365=0,"",C142/'Oper.St.'!D32*365))</f>
        <v/>
      </c>
      <c r="D143" s="273" t="str">
        <f>IF(ISERROR(D142/'Oper.St.'!E32*365),"",IF(D142/'Oper.St.'!E32*365=0,"",D142/'Oper.St.'!E32*365))</f>
        <v/>
      </c>
      <c r="E143" s="273" t="str">
        <f>IF(ISERROR(E142/'Oper.St.'!F32*365),"",IF(E142/'Oper.St.'!F32*365=0,"",E142/'Oper.St.'!F32*365))</f>
        <v/>
      </c>
      <c r="F143" s="273" t="str">
        <f>IF(ISERROR(F142/'Oper.St.'!G32*365),"",IF(F142/'Oper.St.'!G32*365=0,"",F142/'Oper.St.'!G32*365))</f>
        <v/>
      </c>
      <c r="G143" s="273" t="str">
        <f>IF(ISERROR(G142/'Oper.St.'!H32*365),"",IF(G142/'Oper.St.'!H32*365=0,"",G142/'Oper.St.'!H32*365))</f>
        <v/>
      </c>
      <c r="H143" s="273" t="str">
        <f>IF(ISERROR(H142/'Oper.St.'!I32*365),"",IF(H142/'Oper.St.'!I32*365=0,"",H142/'Oper.St.'!I32*365))</f>
        <v/>
      </c>
      <c r="I143" s="273" t="str">
        <f>IF(ISERROR(I142/'Oper.St.'!J32*365),"",IF(I142/'Oper.St.'!J32*365=0,"",I142/'Oper.St.'!J32*365))</f>
        <v/>
      </c>
      <c r="J143" s="273" t="str">
        <f>IF(ISERROR(J142/'Oper.St.'!K32*365),"",IF(J142/'Oper.St.'!K32*365=0,"",J142/'Oper.St.'!K32*365))</f>
        <v/>
      </c>
      <c r="K143" s="273" t="str">
        <f>IF(ISERROR(K142/'Oper.St.'!L32*365),"",IF(K142/'Oper.St.'!L32*365=0,"",K142/'Oper.St.'!L32*365))</f>
        <v/>
      </c>
      <c r="L143" s="273" t="str">
        <f>IF(ISERROR(L142/'Oper.St.'!M32*365),"",IF(L142/'Oper.St.'!M32*365=0,"",L142/'Oper.St.'!M32*365))</f>
        <v/>
      </c>
      <c r="M143" s="273" t="str">
        <f>IF(ISERROR(M142/'Oper.St.'!N32*365),"",IF(M142/'Oper.St.'!N32*365=0,"",M142/'Oper.St.'!N32*365))</f>
        <v/>
      </c>
      <c r="N143" s="273" t="str">
        <f>IF(ISERROR(N142/'Oper.St.'!O32*365),"",IF(N142/'Oper.St.'!O32*365=0,"",N142/'Oper.St.'!O32*365))</f>
        <v/>
      </c>
      <c r="O143" s="273" t="str">
        <f>IF(ISERROR(O142/'Oper.St.'!P32*365),"",IF(O142/'Oper.St.'!P32*365=0,"",O142/'Oper.St.'!P32*365))</f>
        <v/>
      </c>
      <c r="P143" s="273" t="str">
        <f>IF(ISERROR(P142/'Oper.St.'!Q32*365),"",IF(P142/'Oper.St.'!Q32*365=0,"",P142/'Oper.St.'!Q32*365))</f>
        <v/>
      </c>
      <c r="Q143" s="273" t="str">
        <f>IF(ISERROR(Q142/'Oper.St.'!R32*365),"",IF(Q142/'Oper.St.'!R32*365=0,"",Q142/'Oper.St.'!R32*365))</f>
        <v/>
      </c>
      <c r="R143" s="273" t="str">
        <f>IF(ISERROR(R142/'Oper.St.'!S32*365),"",IF(R142/'Oper.St.'!S32*365=0,"",R142/'Oper.St.'!S32*365))</f>
        <v/>
      </c>
      <c r="S143" s="273" t="str">
        <f>IF(ISERROR(S142/'Oper.St.'!T32*365),"",IF(S142/'Oper.St.'!T32*365=0,"",S142/'Oper.St.'!T32*365))</f>
        <v/>
      </c>
      <c r="T143" s="273" t="str">
        <f>IF(ISERROR(T142/'Oper.St.'!U32*365),"",IF(T142/'Oper.St.'!U32*365=0,"",T142/'Oper.St.'!U32*365))</f>
        <v/>
      </c>
      <c r="U143" s="273" t="str">
        <f>IF(ISERROR(U142/'Oper.St.'!V32*365),"",IF(U142/'Oper.St.'!V32*365=0,"",U142/'Oper.St.'!V32*365))</f>
        <v/>
      </c>
      <c r="V143" s="613"/>
    </row>
    <row r="144" spans="1:22" s="315" customFormat="1" ht="14.25" customHeight="1" x14ac:dyDescent="0.2">
      <c r="A144" s="314" t="s">
        <v>409</v>
      </c>
      <c r="B144" s="272" t="str">
        <f>IF(ISERROR(Asset!C32),"",IF(Asset!C32=0,"",Asset!C32))</f>
        <v/>
      </c>
      <c r="C144" s="272" t="str">
        <f>IF(ISERROR(Asset!D32),"",IF(Asset!D32=0,"",Asset!D32))</f>
        <v/>
      </c>
      <c r="D144" s="272" t="str">
        <f>IF(ISERROR(Asset!E32),"",IF(Asset!E32=0,"",Asset!E32))</f>
        <v/>
      </c>
      <c r="E144" s="272" t="str">
        <f>IF(ISERROR(Asset!F32),"",IF(Asset!F32=0,"",Asset!F32))</f>
        <v/>
      </c>
      <c r="F144" s="272" t="str">
        <f>IF(ISERROR(Asset!G32),"",IF(Asset!G32=0,"",Asset!G32))</f>
        <v/>
      </c>
      <c r="G144" s="272" t="str">
        <f>IF(ISERROR(Asset!H32),"",IF(Asset!H32=0,"",Asset!H32))</f>
        <v/>
      </c>
      <c r="H144" s="272" t="str">
        <f>IF(ISERROR(Asset!I32),"",IF(Asset!I32=0,"",Asset!I32))</f>
        <v/>
      </c>
      <c r="I144" s="272" t="str">
        <f>IF(ISERROR(Asset!J32),"",IF(Asset!J32=0,"",Asset!J32))</f>
        <v/>
      </c>
      <c r="J144" s="272" t="str">
        <f>IF(ISERROR(Asset!K32),"",IF(Asset!K32=0,"",Asset!K32))</f>
        <v/>
      </c>
      <c r="K144" s="272" t="str">
        <f>IF(ISERROR(Asset!L32),"",IF(Asset!L32=0,"",Asset!L32))</f>
        <v/>
      </c>
      <c r="L144" s="272" t="str">
        <f>IF(ISERROR(Asset!M32),"",IF(Asset!M32=0,"",Asset!M32))</f>
        <v/>
      </c>
      <c r="M144" s="272" t="str">
        <f>IF(ISERROR(Asset!N32),"",IF(Asset!N32=0,"",Asset!N32))</f>
        <v/>
      </c>
      <c r="N144" s="272" t="str">
        <f>IF(ISERROR(Asset!O32),"",IF(Asset!O32=0,"",Asset!O32))</f>
        <v/>
      </c>
      <c r="O144" s="272" t="str">
        <f>IF(ISERROR(Asset!P32),"",IF(Asset!P32=0,"",Asset!P32))</f>
        <v/>
      </c>
      <c r="P144" s="272" t="str">
        <f>IF(ISERROR(Asset!Q32),"",IF(Asset!Q32=0,"",Asset!Q32))</f>
        <v/>
      </c>
      <c r="Q144" s="272" t="str">
        <f>IF(ISERROR(Asset!R32),"",IF(Asset!R32=0,"",Asset!R32))</f>
        <v/>
      </c>
      <c r="R144" s="272" t="str">
        <f>IF(ISERROR(Asset!S32),"",IF(Asset!S32=0,"",Asset!S32))</f>
        <v/>
      </c>
      <c r="S144" s="272" t="str">
        <f>IF(ISERROR(Asset!T32),"",IF(Asset!T32=0,"",Asset!T32))</f>
        <v/>
      </c>
      <c r="T144" s="272" t="str">
        <f>IF(ISERROR(Asset!U32),"",IF(Asset!U32=0,"",Asset!U32))</f>
        <v/>
      </c>
      <c r="U144" s="272" t="str">
        <f>IF(ISERROR(Asset!V32),"",IF(Asset!V32=0,"",Asset!V32))</f>
        <v/>
      </c>
      <c r="V144" s="623"/>
    </row>
    <row r="145" spans="1:22" s="297" customFormat="1" ht="14.25" customHeight="1" x14ac:dyDescent="0.25">
      <c r="A145" s="316" t="s">
        <v>410</v>
      </c>
      <c r="B145" s="273" t="str">
        <f>IF(ISERROR(B144/'Oper.St.'!C33*365),"",IF(B144/'Oper.St.'!C33*365=0,"",B144/'Oper.St.'!C33*365))</f>
        <v/>
      </c>
      <c r="C145" s="273" t="str">
        <f>IF(ISERROR(C144/'Oper.St.'!D33*365),"",IF(C144/'Oper.St.'!D33*365=0,"",C144/'Oper.St.'!D33*365))</f>
        <v/>
      </c>
      <c r="D145" s="273" t="str">
        <f>IF(ISERROR(D144/'Oper.St.'!E33*365),"",IF(D144/'Oper.St.'!E33*365=0,"",D144/'Oper.St.'!E33*365))</f>
        <v/>
      </c>
      <c r="E145" s="273" t="str">
        <f>IF(ISERROR(E144/'Oper.St.'!F33*365),"",IF(E144/'Oper.St.'!F33*365=0,"",E144/'Oper.St.'!F33*365))</f>
        <v/>
      </c>
      <c r="F145" s="273" t="str">
        <f>IF(ISERROR(F144/'Oper.St.'!G33*365),"",IF(F144/'Oper.St.'!G33*365=0,"",F144/'Oper.St.'!G33*365))</f>
        <v/>
      </c>
      <c r="G145" s="273" t="str">
        <f>IF(ISERROR(G144/'Oper.St.'!H33*365),"",IF(G144/'Oper.St.'!H33*365=0,"",G144/'Oper.St.'!H33*365))</f>
        <v/>
      </c>
      <c r="H145" s="273" t="str">
        <f>IF(ISERROR(H144/'Oper.St.'!I33*365),"",IF(H144/'Oper.St.'!I33*365=0,"",H144/'Oper.St.'!I33*365))</f>
        <v/>
      </c>
      <c r="I145" s="273" t="str">
        <f>IF(ISERROR(I144/'Oper.St.'!J33*365),"",IF(I144/'Oper.St.'!J33*365=0,"",I144/'Oper.St.'!J33*365))</f>
        <v/>
      </c>
      <c r="J145" s="273" t="str">
        <f>IF(ISERROR(J144/'Oper.St.'!K33*365),"",IF(J144/'Oper.St.'!K33*365=0,"",J144/'Oper.St.'!K33*365))</f>
        <v/>
      </c>
      <c r="K145" s="273" t="str">
        <f>IF(ISERROR(K144/'Oper.St.'!L33*365),"",IF(K144/'Oper.St.'!L33*365=0,"",K144/'Oper.St.'!L33*365))</f>
        <v/>
      </c>
      <c r="L145" s="273" t="str">
        <f>IF(ISERROR(L144/'Oper.St.'!M33*365),"",IF(L144/'Oper.St.'!M33*365=0,"",L144/'Oper.St.'!M33*365))</f>
        <v/>
      </c>
      <c r="M145" s="273" t="str">
        <f>IF(ISERROR(M144/'Oper.St.'!N33*365),"",IF(M144/'Oper.St.'!N33*365=0,"",M144/'Oper.St.'!N33*365))</f>
        <v/>
      </c>
      <c r="N145" s="273" t="str">
        <f>IF(ISERROR(N144/'Oper.St.'!O33*365),"",IF(N144/'Oper.St.'!O33*365=0,"",N144/'Oper.St.'!O33*365))</f>
        <v/>
      </c>
      <c r="O145" s="273" t="str">
        <f>IF(ISERROR(O144/'Oper.St.'!P33*365),"",IF(O144/'Oper.St.'!P33*365=0,"",O144/'Oper.St.'!P33*365))</f>
        <v/>
      </c>
      <c r="P145" s="273" t="str">
        <f>IF(ISERROR(P144/'Oper.St.'!Q33*365),"",IF(P144/'Oper.St.'!Q33*365=0,"",P144/'Oper.St.'!Q33*365))</f>
        <v/>
      </c>
      <c r="Q145" s="273" t="str">
        <f>IF(ISERROR(Q144/'Oper.St.'!R33*365),"",IF(Q144/'Oper.St.'!R33*365=0,"",Q144/'Oper.St.'!R33*365))</f>
        <v/>
      </c>
      <c r="R145" s="273" t="str">
        <f>IF(ISERROR(R144/'Oper.St.'!S33*365),"",IF(R144/'Oper.St.'!S33*365=0,"",R144/'Oper.St.'!S33*365))</f>
        <v/>
      </c>
      <c r="S145" s="273" t="str">
        <f>IF(ISERROR(S144/'Oper.St.'!T33*365),"",IF(S144/'Oper.St.'!T33*365=0,"",S144/'Oper.St.'!T33*365))</f>
        <v/>
      </c>
      <c r="T145" s="273" t="str">
        <f>IF(ISERROR(T144/'Oper.St.'!U33*365),"",IF(T144/'Oper.St.'!U33*365=0,"",T144/'Oper.St.'!U33*365))</f>
        <v/>
      </c>
      <c r="U145" s="273" t="str">
        <f>IF(ISERROR(U144/'Oper.St.'!V33*365),"",IF(U144/'Oper.St.'!V33*365=0,"",U144/'Oper.St.'!V33*365))</f>
        <v/>
      </c>
      <c r="V145" s="613"/>
    </row>
    <row r="146" spans="1:22" s="315" customFormat="1" ht="14.25" customHeight="1" x14ac:dyDescent="0.2">
      <c r="A146" s="314" t="s">
        <v>403</v>
      </c>
      <c r="B146" s="272" t="str">
        <f>IF(ISERROR(Asset!C34),"",IF(Asset!C34=0,"",Asset!C34))</f>
        <v/>
      </c>
      <c r="C146" s="272" t="str">
        <f>IF(ISERROR(Asset!D34),"",IF(Asset!D34=0,"",Asset!D34))</f>
        <v/>
      </c>
      <c r="D146" s="272" t="str">
        <f>IF(ISERROR(Asset!E34),"",IF(Asset!E34=0,"",Asset!E34))</f>
        <v/>
      </c>
      <c r="E146" s="272" t="str">
        <f>IF(ISERROR(Asset!F34),"",IF(Asset!F34=0,"",Asset!F34))</f>
        <v/>
      </c>
      <c r="F146" s="272" t="str">
        <f>IF(ISERROR(Asset!G34),"",IF(Asset!G34=0,"",Asset!G34))</f>
        <v/>
      </c>
      <c r="G146" s="272" t="str">
        <f>IF(ISERROR(Asset!H34),"",IF(Asset!H34=0,"",Asset!H34))</f>
        <v/>
      </c>
      <c r="H146" s="272" t="str">
        <f>IF(ISERROR(Asset!I34),"",IF(Asset!I34=0,"",Asset!I34))</f>
        <v/>
      </c>
      <c r="I146" s="272" t="str">
        <f>IF(ISERROR(Asset!J34),"",IF(Asset!J34=0,"",Asset!J34))</f>
        <v/>
      </c>
      <c r="J146" s="272" t="str">
        <f>IF(ISERROR(Asset!K34),"",IF(Asset!K34=0,"",Asset!K34))</f>
        <v/>
      </c>
      <c r="K146" s="272" t="str">
        <f>IF(ISERROR(Asset!L34),"",IF(Asset!L34=0,"",Asset!L34))</f>
        <v/>
      </c>
      <c r="L146" s="272" t="str">
        <f>IF(ISERROR(Asset!M34),"",IF(Asset!M34=0,"",Asset!M34))</f>
        <v/>
      </c>
      <c r="M146" s="272" t="str">
        <f>IF(ISERROR(Asset!N34),"",IF(Asset!N34=0,"",Asset!N34))</f>
        <v/>
      </c>
      <c r="N146" s="272" t="str">
        <f>IF(ISERROR(Asset!O34),"",IF(Asset!O34=0,"",Asset!O34))</f>
        <v/>
      </c>
      <c r="O146" s="272" t="str">
        <f>IF(ISERROR(Asset!P34),"",IF(Asset!P34=0,"",Asset!P34))</f>
        <v/>
      </c>
      <c r="P146" s="272" t="str">
        <f>IF(ISERROR(Asset!Q34),"",IF(Asset!Q34=0,"",Asset!Q34))</f>
        <v/>
      </c>
      <c r="Q146" s="272" t="str">
        <f>IF(ISERROR(Asset!R34),"",IF(Asset!R34=0,"",Asset!R34))</f>
        <v/>
      </c>
      <c r="R146" s="272" t="str">
        <f>IF(ISERROR(Asset!S34),"",IF(Asset!S34=0,"",Asset!S34))</f>
        <v/>
      </c>
      <c r="S146" s="272" t="str">
        <f>IF(ISERROR(Asset!T34),"",IF(Asset!T34=0,"",Asset!T34))</f>
        <v/>
      </c>
      <c r="T146" s="272" t="str">
        <f>IF(ISERROR(Asset!U34),"",IF(Asset!U34=0,"",Asset!U34))</f>
        <v/>
      </c>
      <c r="U146" s="272" t="str">
        <f>IF(ISERROR(Asset!V34),"",IF(Asset!V34=0,"",Asset!V34))</f>
        <v/>
      </c>
      <c r="V146" s="623"/>
    </row>
    <row r="147" spans="1:22" s="297" customFormat="1" ht="14.25" customHeight="1" x14ac:dyDescent="0.25">
      <c r="A147" s="316" t="s">
        <v>404</v>
      </c>
      <c r="B147" s="273" t="str">
        <f>IF(ISERROR(B146/'Oper.St.'!C61*365),"",IF(B146/'Oper.St.'!C61*365=0,"",B146/'Oper.St.'!C61*365))</f>
        <v/>
      </c>
      <c r="C147" s="273" t="str">
        <f>IF(ISERROR(C146/'Oper.St.'!D61*365),"",IF(C146/'Oper.St.'!D61*365=0,"",C146/'Oper.St.'!D61*365))</f>
        <v/>
      </c>
      <c r="D147" s="273" t="str">
        <f>IF(ISERROR(D146/'Oper.St.'!E61*365),"",IF(D146/'Oper.St.'!E61*365=0,"",D146/'Oper.St.'!E61*365))</f>
        <v/>
      </c>
      <c r="E147" s="273" t="str">
        <f>IF(ISERROR(E146/'Oper.St.'!F61*365),"",IF(E146/'Oper.St.'!F61*365=0,"",E146/'Oper.St.'!F61*365))</f>
        <v/>
      </c>
      <c r="F147" s="273" t="str">
        <f>IF(ISERROR(F146/'Oper.St.'!G61*365),"",IF(F146/'Oper.St.'!G61*365=0,"",F146/'Oper.St.'!G61*365))</f>
        <v/>
      </c>
      <c r="G147" s="273" t="str">
        <f>IF(ISERROR(G146/'Oper.St.'!H61*365),"",IF(G146/'Oper.St.'!H61*365=0,"",G146/'Oper.St.'!H61*365))</f>
        <v/>
      </c>
      <c r="H147" s="273" t="str">
        <f>IF(ISERROR(H146/'Oper.St.'!I61*365),"",IF(H146/'Oper.St.'!I61*365=0,"",H146/'Oper.St.'!I61*365))</f>
        <v/>
      </c>
      <c r="I147" s="273" t="str">
        <f>IF(ISERROR(I146/'Oper.St.'!J61*365),"",IF(I146/'Oper.St.'!J61*365=0,"",I146/'Oper.St.'!J61*365))</f>
        <v/>
      </c>
      <c r="J147" s="273" t="str">
        <f>IF(ISERROR(J146/'Oper.St.'!K61*365),"",IF(J146/'Oper.St.'!K61*365=0,"",J146/'Oper.St.'!K61*365))</f>
        <v/>
      </c>
      <c r="K147" s="273" t="str">
        <f>IF(ISERROR(K146/'Oper.St.'!L61*365),"",IF(K146/'Oper.St.'!L61*365=0,"",K146/'Oper.St.'!L61*365))</f>
        <v/>
      </c>
      <c r="L147" s="273" t="str">
        <f>IF(ISERROR(L146/'Oper.St.'!M61*365),"",IF(L146/'Oper.St.'!M61*365=0,"",L146/'Oper.St.'!M61*365))</f>
        <v/>
      </c>
      <c r="M147" s="273" t="str">
        <f>IF(ISERROR(M146/'Oper.St.'!N61*365),"",IF(M146/'Oper.St.'!N61*365=0,"",M146/'Oper.St.'!N61*365))</f>
        <v/>
      </c>
      <c r="N147" s="273" t="str">
        <f>IF(ISERROR(N146/'Oper.St.'!O61*365),"",IF(N146/'Oper.St.'!O61*365=0,"",N146/'Oper.St.'!O61*365))</f>
        <v/>
      </c>
      <c r="O147" s="273" t="str">
        <f>IF(ISERROR(O146/'Oper.St.'!P61*365),"",IF(O146/'Oper.St.'!P61*365=0,"",O146/'Oper.St.'!P61*365))</f>
        <v/>
      </c>
      <c r="P147" s="273" t="str">
        <f>IF(ISERROR(P146/'Oper.St.'!Q61*365),"",IF(P146/'Oper.St.'!Q61*365=0,"",P146/'Oper.St.'!Q61*365))</f>
        <v/>
      </c>
      <c r="Q147" s="273" t="str">
        <f>IF(ISERROR(Q146/'Oper.St.'!R61*365),"",IF(Q146/'Oper.St.'!R61*365=0,"",Q146/'Oper.St.'!R61*365))</f>
        <v/>
      </c>
      <c r="R147" s="273" t="str">
        <f>IF(ISERROR(R146/'Oper.St.'!S61*365),"",IF(R146/'Oper.St.'!S61*365=0,"",R146/'Oper.St.'!S61*365))</f>
        <v/>
      </c>
      <c r="S147" s="273" t="str">
        <f>IF(ISERROR(S146/'Oper.St.'!T61*365),"",IF(S146/'Oper.St.'!T61*365=0,"",S146/'Oper.St.'!T61*365))</f>
        <v/>
      </c>
      <c r="T147" s="273" t="str">
        <f>IF(ISERROR(T146/'Oper.St.'!U61*365),"",IF(T146/'Oper.St.'!U61*365=0,"",T146/'Oper.St.'!U61*365))</f>
        <v/>
      </c>
      <c r="U147" s="273" t="str">
        <f>IF(ISERROR(U146/'Oper.St.'!V61*365),"",IF(U146/'Oper.St.'!V61*365=0,"",U146/'Oper.St.'!V61*365))</f>
        <v/>
      </c>
      <c r="V147" s="613"/>
    </row>
    <row r="148" spans="1:22" s="315" customFormat="1" ht="14.25" customHeight="1" x14ac:dyDescent="0.2">
      <c r="A148" s="314" t="s">
        <v>405</v>
      </c>
      <c r="B148" s="272" t="str">
        <f>IF(ISERROR(Asset!C35),"",IF(Asset!C35=0,"",Asset!C35))</f>
        <v/>
      </c>
      <c r="C148" s="272" t="str">
        <f>IF(ISERROR(Asset!D35),"",IF(Asset!D35=0,"",Asset!D35))</f>
        <v/>
      </c>
      <c r="D148" s="272" t="str">
        <f>IF(ISERROR(Asset!E35),"",IF(Asset!E35=0,"",Asset!E35))</f>
        <v/>
      </c>
      <c r="E148" s="272" t="str">
        <f>IF(ISERROR(Asset!F35),"",IF(Asset!F35=0,"",Asset!F35))</f>
        <v/>
      </c>
      <c r="F148" s="272">
        <f>IF(ISERROR(Asset!G35),"",IF(Asset!G35=0,"",Asset!G35))</f>
        <v>2</v>
      </c>
      <c r="G148" s="272">
        <f>IF(ISERROR(Asset!H35),"",IF(Asset!H35=0,"",Asset!H35))</f>
        <v>2.6</v>
      </c>
      <c r="H148" s="272">
        <f>IF(ISERROR(Asset!I35),"",IF(Asset!I35=0,"",Asset!I35))</f>
        <v>4</v>
      </c>
      <c r="I148" s="272">
        <f>IF(ISERROR(Asset!J35),"",IF(Asset!J35=0,"",Asset!J35))</f>
        <v>4.5</v>
      </c>
      <c r="J148" s="272">
        <f>IF(ISERROR(Asset!K35),"",IF(Asset!K35=0,"",Asset!K35))</f>
        <v>5</v>
      </c>
      <c r="K148" s="272">
        <f>IF(ISERROR(Asset!L35),"",IF(Asset!L35=0,"",Asset!L35))</f>
        <v>5.25</v>
      </c>
      <c r="L148" s="272">
        <f>IF(ISERROR(Asset!M35),"",IF(Asset!M35=0,"",Asset!M35))</f>
        <v>5.3</v>
      </c>
      <c r="M148" s="272" t="str">
        <f>IF(ISERROR(Asset!N35),"",IF(Asset!N35=0,"",Asset!N35))</f>
        <v/>
      </c>
      <c r="N148" s="272" t="str">
        <f>IF(ISERROR(Asset!O35),"",IF(Asset!O35=0,"",Asset!O35))</f>
        <v/>
      </c>
      <c r="O148" s="272" t="str">
        <f>IF(ISERROR(Asset!P35),"",IF(Asset!P35=0,"",Asset!P35))</f>
        <v/>
      </c>
      <c r="P148" s="272" t="str">
        <f>IF(ISERROR(Asset!Q35),"",IF(Asset!Q35=0,"",Asset!Q35))</f>
        <v/>
      </c>
      <c r="Q148" s="272" t="str">
        <f>IF(ISERROR(Asset!R35),"",IF(Asset!R35=0,"",Asset!R35))</f>
        <v/>
      </c>
      <c r="R148" s="272" t="str">
        <f>IF(ISERROR(Asset!S35),"",IF(Asset!S35=0,"",Asset!S35))</f>
        <v/>
      </c>
      <c r="S148" s="272" t="str">
        <f>IF(ISERROR(Asset!T35),"",IF(Asset!T35=0,"",Asset!T35))</f>
        <v/>
      </c>
      <c r="T148" s="272" t="str">
        <f>IF(ISERROR(Asset!U35),"",IF(Asset!U35=0,"",Asset!U35))</f>
        <v/>
      </c>
      <c r="U148" s="272" t="str">
        <f>IF(ISERROR(Asset!V35),"",IF(Asset!V35=0,"",Asset!V35))</f>
        <v/>
      </c>
      <c r="V148" s="623"/>
    </row>
    <row r="149" spans="1:22" s="297" customFormat="1" ht="14.25" customHeight="1" x14ac:dyDescent="0.25">
      <c r="A149" s="316" t="s">
        <v>415</v>
      </c>
      <c r="B149" s="273" t="str">
        <f>IF(ISERROR(B148/'Oper.St.'!C65*365),"",IF(B148/'Oper.St.'!C65*365=0,"",B148/'Oper.St.'!C65*365))</f>
        <v/>
      </c>
      <c r="C149" s="273" t="str">
        <f>IF(ISERROR(C148/'Oper.St.'!D65*365),"",IF(C148/'Oper.St.'!D65*365=0,"",C148/'Oper.St.'!D65*365))</f>
        <v/>
      </c>
      <c r="D149" s="273" t="str">
        <f>IF(ISERROR(D148/'Oper.St.'!E65*365),"",IF(D148/'Oper.St.'!E65*365=0,"",D148/'Oper.St.'!E65*365))</f>
        <v/>
      </c>
      <c r="E149" s="273" t="str">
        <f>IF(ISERROR(E148/'Oper.St.'!F65*365),"",IF(E148/'Oper.St.'!F65*365=0,"",E148/'Oper.St.'!F65*365))</f>
        <v/>
      </c>
      <c r="F149" s="273">
        <f>IF(ISERROR(F148/'Oper.St.'!G65*365),"",IF(F148/'Oper.St.'!G65*365=0,"",F148/'Oper.St.'!G65*365))</f>
        <v>61.551433389544691</v>
      </c>
      <c r="G149" s="273">
        <f>IF(ISERROR(G148/'Oper.St.'!H65*365),"",IF(G148/'Oper.St.'!H65*365=0,"",G148/'Oper.St.'!H65*365))</f>
        <v>41.477272727272734</v>
      </c>
      <c r="H149" s="273">
        <f>IF(ISERROR(H148/'Oper.St.'!I65*365),"",IF(H148/'Oper.St.'!I65*365=0,"",H148/'Oper.St.'!I65*365))</f>
        <v>53.362573099415201</v>
      </c>
      <c r="I149" s="273">
        <f>IF(ISERROR(I148/'Oper.St.'!J65*365),"",IF(I148/'Oper.St.'!J65*365=0,"",I148/'Oper.St.'!J65*365))</f>
        <v>55.154466084620552</v>
      </c>
      <c r="J149" s="273">
        <f>IF(ISERROR(J148/'Oper.St.'!K65*365),"",IF(J148/'Oper.St.'!K65*365=0,"",J148/'Oper.St.'!K65*365))</f>
        <v>56.536555142503097</v>
      </c>
      <c r="K149" s="273">
        <f>IF(ISERROR(K148/'Oper.St.'!L65*365),"",IF(K148/'Oper.St.'!L65*365=0,"",K148/'Oper.St.'!L65*365))</f>
        <v>55.112165660051765</v>
      </c>
      <c r="L149" s="273">
        <f>IF(ISERROR(L148/'Oper.St.'!M65*365),"",IF(L148/'Oper.St.'!M65*365=0,"",L148/'Oper.St.'!M65*365))</f>
        <v>52.114762931034477</v>
      </c>
      <c r="M149" s="273" t="str">
        <f>IF(ISERROR(M148/'Oper.St.'!N65*365),"",IF(M148/'Oper.St.'!N65*365=0,"",M148/'Oper.St.'!N65*365))</f>
        <v/>
      </c>
      <c r="N149" s="273" t="str">
        <f>IF(ISERROR(N148/'Oper.St.'!O65*365),"",IF(N148/'Oper.St.'!O65*365=0,"",N148/'Oper.St.'!O65*365))</f>
        <v/>
      </c>
      <c r="O149" s="273" t="str">
        <f>IF(ISERROR(O148/'Oper.St.'!P65*365),"",IF(O148/'Oper.St.'!P65*365=0,"",O148/'Oper.St.'!P65*365))</f>
        <v/>
      </c>
      <c r="P149" s="273" t="str">
        <f>IF(ISERROR(P148/'Oper.St.'!Q65*365),"",IF(P148/'Oper.St.'!Q65*365=0,"",P148/'Oper.St.'!Q65*365))</f>
        <v/>
      </c>
      <c r="Q149" s="273" t="str">
        <f>IF(ISERROR(Q148/'Oper.St.'!R65*365),"",IF(Q148/'Oper.St.'!R65*365=0,"",Q148/'Oper.St.'!R65*365))</f>
        <v/>
      </c>
      <c r="R149" s="273" t="str">
        <f>IF(ISERROR(R148/'Oper.St.'!S65*365),"",IF(R148/'Oper.St.'!S65*365=0,"",R148/'Oper.St.'!S65*365))</f>
        <v/>
      </c>
      <c r="S149" s="273" t="str">
        <f>IF(ISERROR(S148/'Oper.St.'!T65*365),"",IF(S148/'Oper.St.'!T65*365=0,"",S148/'Oper.St.'!T65*365))</f>
        <v/>
      </c>
      <c r="T149" s="273" t="str">
        <f>IF(ISERROR(T148/'Oper.St.'!U65*365),"",IF(T148/'Oper.St.'!U65*365=0,"",T148/'Oper.St.'!U65*365))</f>
        <v/>
      </c>
      <c r="U149" s="273" t="str">
        <f>IF(ISERROR(U148/'Oper.St.'!V65*365),"",IF(U148/'Oper.St.'!V65*365=0,"",U148/'Oper.St.'!V65*365))</f>
        <v/>
      </c>
      <c r="V149" s="613"/>
    </row>
    <row r="150" spans="1:22" s="315" customFormat="1" ht="14.25" customHeight="1" x14ac:dyDescent="0.2">
      <c r="A150" s="314" t="s">
        <v>411</v>
      </c>
      <c r="B150" s="272" t="str">
        <f>IF(ISERROR(Asset!C22+Asset!C76),"",IF(Asset!C22+Asset!C76=0,"",Asset!C22+Asset!C76))</f>
        <v/>
      </c>
      <c r="C150" s="272" t="str">
        <f>IF(ISERROR(Asset!D22+Asset!D76),"",IF(Asset!D22+Asset!D76=0,"",Asset!D22+Asset!D76))</f>
        <v/>
      </c>
      <c r="D150" s="272" t="str">
        <f>IF(ISERROR(Asset!E22+Asset!E76),"",IF(Asset!E22+Asset!E76=0,"",Asset!E22+Asset!E76))</f>
        <v/>
      </c>
      <c r="E150" s="272" t="str">
        <f>IF(ISERROR(Asset!F22+Asset!F76),"",IF(Asset!F22+Asset!F76=0,"",Asset!F22+Asset!F76))</f>
        <v/>
      </c>
      <c r="F150" s="272" t="str">
        <f>IF(ISERROR(Asset!G22+Asset!G76),"",IF(Asset!G22+Asset!G76=0,"",Asset!G22+Asset!G76))</f>
        <v/>
      </c>
      <c r="G150" s="272" t="str">
        <f>IF(ISERROR(Asset!H22+Asset!H76),"",IF(Asset!H22+Asset!H76=0,"",Asset!H22+Asset!H76))</f>
        <v/>
      </c>
      <c r="H150" s="272" t="str">
        <f>IF(ISERROR(Asset!I22+Asset!I76),"",IF(Asset!I22+Asset!I76=0,"",Asset!I22+Asset!I76))</f>
        <v/>
      </c>
      <c r="I150" s="272" t="str">
        <f>IF(ISERROR(Asset!J22+Asset!J76),"",IF(Asset!J22+Asset!J76=0,"",Asset!J22+Asset!J76))</f>
        <v/>
      </c>
      <c r="J150" s="272" t="str">
        <f>IF(ISERROR(Asset!K22+Asset!K76),"",IF(Asset!K22+Asset!K76=0,"",Asset!K22+Asset!K76))</f>
        <v/>
      </c>
      <c r="K150" s="272" t="str">
        <f>IF(ISERROR(Asset!L22+Asset!L76),"",IF(Asset!L22+Asset!L76=0,"",Asset!L22+Asset!L76))</f>
        <v/>
      </c>
      <c r="L150" s="272" t="str">
        <f>IF(ISERROR(Asset!M22+Asset!M76),"",IF(Asset!M22+Asset!M76=0,"",Asset!M22+Asset!M76))</f>
        <v/>
      </c>
      <c r="M150" s="272" t="str">
        <f>IF(ISERROR(Asset!N22+Asset!N76),"",IF(Asset!N22+Asset!N76=0,"",Asset!N22+Asset!N76))</f>
        <v/>
      </c>
      <c r="N150" s="272" t="str">
        <f>IF(ISERROR(Asset!O22+Asset!O76),"",IF(Asset!O22+Asset!O76=0,"",Asset!O22+Asset!O76))</f>
        <v/>
      </c>
      <c r="O150" s="272" t="str">
        <f>IF(ISERROR(Asset!P22+Asset!P76),"",IF(Asset!P22+Asset!P76=0,"",Asset!P22+Asset!P76))</f>
        <v/>
      </c>
      <c r="P150" s="272" t="str">
        <f>IF(ISERROR(Asset!Q22+Asset!Q76),"",IF(Asset!Q22+Asset!Q76=0,"",Asset!Q22+Asset!Q76))</f>
        <v/>
      </c>
      <c r="Q150" s="272" t="str">
        <f>IF(ISERROR(Asset!R22+Asset!R76),"",IF(Asset!R22+Asset!R76=0,"",Asset!R22+Asset!R76))</f>
        <v/>
      </c>
      <c r="R150" s="272" t="str">
        <f>IF(ISERROR(Asset!S22+Asset!S76),"",IF(Asset!S22+Asset!S76=0,"",Asset!S22+Asset!S76))</f>
        <v/>
      </c>
      <c r="S150" s="272" t="str">
        <f>IF(ISERROR(Asset!T22+Asset!T76),"",IF(Asset!T22+Asset!T76=0,"",Asset!T22+Asset!T76))</f>
        <v/>
      </c>
      <c r="T150" s="272" t="str">
        <f>IF(ISERROR(Asset!U22+Asset!U76),"",IF(Asset!U22+Asset!U76=0,"",Asset!U22+Asset!U76))</f>
        <v/>
      </c>
      <c r="U150" s="272" t="str">
        <f>IF(ISERROR(Asset!V22+Asset!V76),"",IF(Asset!V22+Asset!V76=0,"",Asset!V22+Asset!V76))</f>
        <v/>
      </c>
      <c r="V150" s="623"/>
    </row>
    <row r="151" spans="1:22" s="297" customFormat="1" ht="14.25" customHeight="1" x14ac:dyDescent="0.25">
      <c r="A151" s="316" t="s">
        <v>412</v>
      </c>
      <c r="B151" s="273" t="str">
        <f>IF(ISERROR(B150/'Oper.St.'!C14*365),"",IF(B150/'Oper.St.'!C14*365=0,"",B150/'Oper.St.'!C14*365))</f>
        <v/>
      </c>
      <c r="C151" s="273" t="str">
        <f>IF(ISERROR(C150/'Oper.St.'!D14*365),"",IF(C150/'Oper.St.'!D14*365=0,"",C150/'Oper.St.'!D14*365))</f>
        <v/>
      </c>
      <c r="D151" s="273" t="str">
        <f>IF(ISERROR(D150/'Oper.St.'!E14*365),"",IF(D150/'Oper.St.'!E14*365=0,"",D150/'Oper.St.'!E14*365))</f>
        <v/>
      </c>
      <c r="E151" s="273" t="str">
        <f>IF(ISERROR(E150/'Oper.St.'!F14*365),"",IF(E150/'Oper.St.'!F14*365=0,"",E150/'Oper.St.'!F14*365))</f>
        <v/>
      </c>
      <c r="F151" s="273" t="str">
        <f>IF(ISERROR(F150/'Oper.St.'!G14*365),"",IF(F150/'Oper.St.'!G14*365=0,"",F150/'Oper.St.'!G14*365))</f>
        <v/>
      </c>
      <c r="G151" s="273" t="str">
        <f>IF(ISERROR(G150/'Oper.St.'!H14*365),"",IF(G150/'Oper.St.'!H14*365=0,"",G150/'Oper.St.'!H14*365))</f>
        <v/>
      </c>
      <c r="H151" s="273" t="str">
        <f>IF(ISERROR(H150/'Oper.St.'!I14*365),"",IF(H150/'Oper.St.'!I14*365=0,"",H150/'Oper.St.'!I14*365))</f>
        <v/>
      </c>
      <c r="I151" s="273" t="str">
        <f>IF(ISERROR(I150/'Oper.St.'!J14*365),"",IF(I150/'Oper.St.'!J14*365=0,"",I150/'Oper.St.'!J14*365))</f>
        <v/>
      </c>
      <c r="J151" s="273" t="str">
        <f>IF(ISERROR(J150/'Oper.St.'!K14*365),"",IF(J150/'Oper.St.'!K14*365=0,"",J150/'Oper.St.'!K14*365))</f>
        <v/>
      </c>
      <c r="K151" s="273" t="str">
        <f>IF(ISERROR(K150/'Oper.St.'!L14*365),"",IF(K150/'Oper.St.'!L14*365=0,"",K150/'Oper.St.'!L14*365))</f>
        <v/>
      </c>
      <c r="L151" s="273" t="str">
        <f>IF(ISERROR(L150/'Oper.St.'!M14*365),"",IF(L150/'Oper.St.'!M14*365=0,"",L150/'Oper.St.'!M14*365))</f>
        <v/>
      </c>
      <c r="M151" s="273" t="str">
        <f>IF(ISERROR(M150/'Oper.St.'!N14*365),"",IF(M150/'Oper.St.'!N14*365=0,"",M150/'Oper.St.'!N14*365))</f>
        <v/>
      </c>
      <c r="N151" s="273" t="str">
        <f>IF(ISERROR(N150/'Oper.St.'!O14*365),"",IF(N150/'Oper.St.'!O14*365=0,"",N150/'Oper.St.'!O14*365))</f>
        <v/>
      </c>
      <c r="O151" s="273" t="str">
        <f>IF(ISERROR(O150/'Oper.St.'!P14*365),"",IF(O150/'Oper.St.'!P14*365=0,"",O150/'Oper.St.'!P14*365))</f>
        <v/>
      </c>
      <c r="P151" s="273" t="str">
        <f>IF(ISERROR(P150/'Oper.St.'!Q14*365),"",IF(P150/'Oper.St.'!Q14*365=0,"",P150/'Oper.St.'!Q14*365))</f>
        <v/>
      </c>
      <c r="Q151" s="273" t="str">
        <f>IF(ISERROR(Q150/'Oper.St.'!R14*365),"",IF(Q150/'Oper.St.'!R14*365=0,"",Q150/'Oper.St.'!R14*365))</f>
        <v/>
      </c>
      <c r="R151" s="273" t="str">
        <f>IF(ISERROR(R150/'Oper.St.'!S14*365),"",IF(R150/'Oper.St.'!S14*365=0,"",R150/'Oper.St.'!S14*365))</f>
        <v/>
      </c>
      <c r="S151" s="273" t="str">
        <f>IF(ISERROR(S150/'Oper.St.'!T14*365),"",IF(S150/'Oper.St.'!T14*365=0,"",S150/'Oper.St.'!T14*365))</f>
        <v/>
      </c>
      <c r="T151" s="273" t="str">
        <f>IF(ISERROR(T150/'Oper.St.'!U14*365),"",IF(T150/'Oper.St.'!U14*365=0,"",T150/'Oper.St.'!U14*365))</f>
        <v/>
      </c>
      <c r="U151" s="273" t="str">
        <f>IF(ISERROR(U150/'Oper.St.'!V14*365),"",IF(U150/'Oper.St.'!V14*365=0,"",U150/'Oper.St.'!V14*365))</f>
        <v/>
      </c>
      <c r="V151" s="613"/>
    </row>
    <row r="152" spans="1:22" s="315" customFormat="1" ht="14.25" customHeight="1" x14ac:dyDescent="0.2">
      <c r="A152" s="314" t="s">
        <v>413</v>
      </c>
      <c r="B152" s="272">
        <f>IF(ISERROR(Asset!C19+Asset!C75),"",IF(Asset!C19+Asset!C75=0,"",Asset!C19+Asset!C75))</f>
        <v>0.01</v>
      </c>
      <c r="C152" s="272">
        <f>IF(ISERROR(Asset!D19+Asset!D75),"",IF(Asset!D19+Asset!D75=0,"",Asset!D19+Asset!D75))</f>
        <v>0.1</v>
      </c>
      <c r="D152" s="272">
        <f>IF(ISERROR(Asset!E19+Asset!E75),"",IF(Asset!E19+Asset!E75=0,"",Asset!E19+Asset!E75))</f>
        <v>0.28999999999999998</v>
      </c>
      <c r="E152" s="272">
        <f>IF(ISERROR(Asset!F19+Asset!F75),"",IF(Asset!F19+Asset!F75=0,"",Asset!F19+Asset!F75))</f>
        <v>0.6</v>
      </c>
      <c r="F152" s="272">
        <f>IF(ISERROR(Asset!G19+Asset!G75),"",IF(Asset!G19+Asset!G75=0,"",Asset!G19+Asset!G75))</f>
        <v>2.5</v>
      </c>
      <c r="G152" s="272">
        <f>IF(ISERROR(Asset!H19+Asset!H75),"",IF(Asset!H19+Asset!H75=0,"",Asset!H19+Asset!H75))</f>
        <v>4.71</v>
      </c>
      <c r="H152" s="272">
        <f>IF(ISERROR(Asset!I19+Asset!I75),"",IF(Asset!I19+Asset!I75=0,"",Asset!I19+Asset!I75))</f>
        <v>5.57</v>
      </c>
      <c r="I152" s="272">
        <f>IF(ISERROR(Asset!J19+Asset!J75),"",IF(Asset!J19+Asset!J75=0,"",Asset!J19+Asset!J75))</f>
        <v>6</v>
      </c>
      <c r="J152" s="272">
        <f>IF(ISERROR(Asset!K19+Asset!K75),"",IF(Asset!K19+Asset!K75=0,"",Asset!K19+Asset!K75))</f>
        <v>6.43</v>
      </c>
      <c r="K152" s="272">
        <f>IF(ISERROR(Asset!L19+Asset!L75),"",IF(Asset!L19+Asset!L75=0,"",Asset!L19+Asset!L75))</f>
        <v>6.86</v>
      </c>
      <c r="L152" s="272">
        <f>IF(ISERROR(Asset!M19+Asset!M75),"",IF(Asset!M19+Asset!M75=0,"",Asset!M19+Asset!M75))</f>
        <v>7.28</v>
      </c>
      <c r="M152" s="272" t="str">
        <f>IF(ISERROR(Asset!N19+Asset!N75),"",IF(Asset!N19+Asset!N75=0,"",Asset!N19+Asset!N75))</f>
        <v/>
      </c>
      <c r="N152" s="272" t="str">
        <f>IF(ISERROR(Asset!O19+Asset!O75),"",IF(Asset!O19+Asset!O75=0,"",Asset!O19+Asset!O75))</f>
        <v/>
      </c>
      <c r="O152" s="272" t="str">
        <f>IF(ISERROR(Asset!P19+Asset!P75),"",IF(Asset!P19+Asset!P75=0,"",Asset!P19+Asset!P75))</f>
        <v/>
      </c>
      <c r="P152" s="272" t="str">
        <f>IF(ISERROR(Asset!Q19+Asset!Q75),"",IF(Asset!Q19+Asset!Q75=0,"",Asset!Q19+Asset!Q75))</f>
        <v/>
      </c>
      <c r="Q152" s="272" t="str">
        <f>IF(ISERROR(Asset!R19+Asset!R75),"",IF(Asset!R19+Asset!R75=0,"",Asset!R19+Asset!R75))</f>
        <v/>
      </c>
      <c r="R152" s="272" t="str">
        <f>IF(ISERROR(Asset!S19+Asset!S75),"",IF(Asset!S19+Asset!S75=0,"",Asset!S19+Asset!S75))</f>
        <v/>
      </c>
      <c r="S152" s="272" t="str">
        <f>IF(ISERROR(Asset!T19+Asset!T75),"",IF(Asset!T19+Asset!T75=0,"",Asset!T19+Asset!T75))</f>
        <v/>
      </c>
      <c r="T152" s="272" t="str">
        <f>IF(ISERROR(Asset!U19+Asset!U75),"",IF(Asset!U19+Asset!U75=0,"",Asset!U19+Asset!U75))</f>
        <v/>
      </c>
      <c r="U152" s="272" t="str">
        <f>IF(ISERROR(Asset!V19+Asset!V75),"",IF(Asset!V19+Asset!V75=0,"",Asset!V19+Asset!V75))</f>
        <v/>
      </c>
      <c r="V152" s="623"/>
    </row>
    <row r="153" spans="1:22" s="297" customFormat="1" ht="14.25" customHeight="1" x14ac:dyDescent="0.25">
      <c r="A153" s="316" t="s">
        <v>414</v>
      </c>
      <c r="B153" s="273" t="str">
        <f>IF(ISERROR(B152/('Oper.St.'!C17-'Oper.St.'!C14)*365),"",IF(B152/('Oper.St.'!C17-'Oper.St.'!C14)*365=0,"",B152/('Oper.St.'!C17-'Oper.St.'!C14)*365))</f>
        <v/>
      </c>
      <c r="C153" s="273" t="str">
        <f>IF(ISERROR(C152/('Oper.St.'!D17-'Oper.St.'!D14)*365),"",IF(C152/('Oper.St.'!D17-'Oper.St.'!D14)*365=0,"",C152/('Oper.St.'!D17-'Oper.St.'!D14)*365))</f>
        <v/>
      </c>
      <c r="D153" s="273" t="str">
        <f>IF(ISERROR(D152/('Oper.St.'!E17-'Oper.St.'!E14)*365),"",IF(D152/('Oper.St.'!E17-'Oper.St.'!E14)*365=0,"",D152/('Oper.St.'!E17-'Oper.St.'!E14)*365))</f>
        <v/>
      </c>
      <c r="E153" s="273" t="str">
        <f>IF(ISERROR(E152/('Oper.St.'!F17-'Oper.St.'!F14)*365),"",IF(E152/('Oper.St.'!F17-'Oper.St.'!F14)*365=0,"",E152/('Oper.St.'!F17-'Oper.St.'!F14)*365))</f>
        <v/>
      </c>
      <c r="F153" s="273">
        <f>IF(ISERROR(F152/('Oper.St.'!G17-'Oper.St.'!G14)*365),"",IF(F152/('Oper.St.'!G17-'Oper.St.'!G14)*365=0,"",F152/('Oper.St.'!G17-'Oper.St.'!G14)*365))</f>
        <v>60.833333333333329</v>
      </c>
      <c r="G153" s="273">
        <f>IF(ISERROR(G152/('Oper.St.'!H17-'Oper.St.'!H14)*365),"",IF(G152/('Oper.St.'!H17-'Oper.St.'!H14)*365=0,"",G152/('Oper.St.'!H17-'Oper.St.'!H14)*365))</f>
        <v>60.790311173974544</v>
      </c>
      <c r="H153" s="273">
        <f>IF(ISERROR(H152/('Oper.St.'!I17-'Oper.St.'!I14)*365),"",IF(H152/('Oper.St.'!I17-'Oper.St.'!I14)*365=0,"",H152/('Oper.St.'!I17-'Oper.St.'!I14)*365))</f>
        <v>60.833333333333329</v>
      </c>
      <c r="I153" s="273">
        <f>IF(ISERROR(I152/('Oper.St.'!J17-'Oper.St.'!J14)*365),"",IF(I152/('Oper.St.'!J17-'Oper.St.'!J14)*365=0,"",I152/('Oper.St.'!J17-'Oper.St.'!J14)*365))</f>
        <v>60.850236176715754</v>
      </c>
      <c r="J153" s="273">
        <f>IF(ISERROR(J152/('Oper.St.'!K17-'Oper.St.'!K14)*365),"",IF(J152/('Oper.St.'!K17-'Oper.St.'!K14)*365=0,"",J152/('Oper.St.'!K17-'Oper.St.'!K14)*365))</f>
        <v>60.864885892116178</v>
      </c>
      <c r="K153" s="273">
        <f>IF(ISERROR(K152/('Oper.St.'!L17-'Oper.St.'!L14)*365),"",IF(K152/('Oper.St.'!L17-'Oper.St.'!L14)*365=0,"",K152/('Oper.St.'!L17-'Oper.St.'!L14)*365))</f>
        <v>60.877704838317527</v>
      </c>
      <c r="L153" s="273">
        <f>IF(ISERROR(L152/('Oper.St.'!M17-'Oper.St.'!M14)*365),"",IF(L152/('Oper.St.'!M17-'Oper.St.'!M14)*365=0,"",L152/('Oper.St.'!M17-'Oper.St.'!M14)*365))</f>
        <v>60.805491990846683</v>
      </c>
      <c r="M153" s="273" t="str">
        <f>IF(ISERROR(M152/('Oper.St.'!N17-'Oper.St.'!N14)*365),"",IF(M152/('Oper.St.'!N17-'Oper.St.'!N14)*365=0,"",M152/('Oper.St.'!N17-'Oper.St.'!N14)*365))</f>
        <v/>
      </c>
      <c r="N153" s="273" t="str">
        <f>IF(ISERROR(N152/('Oper.St.'!O17-'Oper.St.'!O14)*365),"",IF(N152/('Oper.St.'!O17-'Oper.St.'!O14)*365=0,"",N152/('Oper.St.'!O17-'Oper.St.'!O14)*365))</f>
        <v/>
      </c>
      <c r="O153" s="273" t="str">
        <f>IF(ISERROR(O152/('Oper.St.'!P17-'Oper.St.'!P14)*365),"",IF(O152/('Oper.St.'!P17-'Oper.St.'!P14)*365=0,"",O152/('Oper.St.'!P17-'Oper.St.'!P14)*365))</f>
        <v/>
      </c>
      <c r="P153" s="273" t="str">
        <f>IF(ISERROR(P152/('Oper.St.'!Q17-'Oper.St.'!Q14)*365),"",IF(P152/('Oper.St.'!Q17-'Oper.St.'!Q14)*365=0,"",P152/('Oper.St.'!Q17-'Oper.St.'!Q14)*365))</f>
        <v/>
      </c>
      <c r="Q153" s="273" t="str">
        <f>IF(ISERROR(Q152/('Oper.St.'!R17-'Oper.St.'!R14)*365),"",IF(Q152/('Oper.St.'!R17-'Oper.St.'!R14)*365=0,"",Q152/('Oper.St.'!R17-'Oper.St.'!R14)*365))</f>
        <v/>
      </c>
      <c r="R153" s="273" t="str">
        <f>IF(ISERROR(R152/('Oper.St.'!S17-'Oper.St.'!S14)*365),"",IF(R152/('Oper.St.'!S17-'Oper.St.'!S14)*365=0,"",R152/('Oper.St.'!S17-'Oper.St.'!S14)*365))</f>
        <v/>
      </c>
      <c r="S153" s="273" t="str">
        <f>IF(ISERROR(S152/('Oper.St.'!T17-'Oper.St.'!T14)*365),"",IF(S152/('Oper.St.'!T17-'Oper.St.'!T14)*365=0,"",S152/('Oper.St.'!T17-'Oper.St.'!T14)*365))</f>
        <v/>
      </c>
      <c r="T153" s="273" t="str">
        <f>IF(ISERROR(T152/('Oper.St.'!U17-'Oper.St.'!U14)*365),"",IF(T152/('Oper.St.'!U17-'Oper.St.'!U14)*365=0,"",T152/('Oper.St.'!U17-'Oper.St.'!U14)*365))</f>
        <v/>
      </c>
      <c r="U153" s="273" t="str">
        <f>IF(ISERROR(U152/('Oper.St.'!V17-'Oper.St.'!V14)*365),"",IF(U152/('Oper.St.'!V17-'Oper.St.'!V14)*365=0,"",U152/('Oper.St.'!V17-'Oper.St.'!V14)*365))</f>
        <v/>
      </c>
      <c r="V153" s="613"/>
    </row>
    <row r="154" spans="1:22" s="315" customFormat="1" ht="14.25" customHeight="1" x14ac:dyDescent="0.2">
      <c r="A154" s="314" t="s">
        <v>416</v>
      </c>
      <c r="B154" s="272" t="str">
        <f>IF(ISERROR(Liab!C24),"",IF(Liab!C24=0,"",Liab!C24))</f>
        <v/>
      </c>
      <c r="C154" s="272">
        <f>IF(ISERROR(Liab!D24),"",IF(Liab!D24=0,"",Liab!D24))</f>
        <v>0.02</v>
      </c>
      <c r="D154" s="272">
        <f>IF(ISERROR(Liab!E24),"",IF(Liab!E24=0,"",Liab!E24))</f>
        <v>0.26</v>
      </c>
      <c r="E154" s="272">
        <f>IF(ISERROR(Liab!F24),"",IF(Liab!F24=0,"",Liab!F24))</f>
        <v>0.3</v>
      </c>
      <c r="F154" s="272">
        <f>IF(ISERROR(Liab!G24),"",IF(Liab!G24=0,"",Liab!G24))</f>
        <v>0.2</v>
      </c>
      <c r="G154" s="272">
        <f>IF(ISERROR(Liab!H24),"",IF(Liab!H24=0,"",Liab!H24))</f>
        <v>1.5</v>
      </c>
      <c r="H154" s="272">
        <f>IF(ISERROR(Liab!I24),"",IF(Liab!I24=0,"",Liab!I24))</f>
        <v>1.5</v>
      </c>
      <c r="I154" s="272">
        <f>IF(ISERROR(Liab!J24),"",IF(Liab!J24=0,"",Liab!J24))</f>
        <v>1</v>
      </c>
      <c r="J154" s="272">
        <f>IF(ISERROR(Liab!K24),"",IF(Liab!K24=0,"",Liab!K24))</f>
        <v>0.75</v>
      </c>
      <c r="K154" s="272">
        <f>IF(ISERROR(Liab!L24),"",IF(Liab!L24=0,"",Liab!L24))</f>
        <v>0.5</v>
      </c>
      <c r="L154" s="272">
        <f>IF(ISERROR(Liab!M24),"",IF(Liab!M24=0,"",Liab!M24))</f>
        <v>0.25</v>
      </c>
      <c r="M154" s="272" t="str">
        <f>IF(ISERROR(Liab!N24),"",IF(Liab!N24=0,"",Liab!N24))</f>
        <v/>
      </c>
      <c r="N154" s="272" t="str">
        <f>IF(ISERROR(Liab!O24),"",IF(Liab!O24=0,"",Liab!O24))</f>
        <v/>
      </c>
      <c r="O154" s="272" t="str">
        <f>IF(ISERROR(Liab!P24),"",IF(Liab!P24=0,"",Liab!P24))</f>
        <v/>
      </c>
      <c r="P154" s="272" t="str">
        <f>IF(ISERROR(Liab!Q24),"",IF(Liab!Q24=0,"",Liab!Q24))</f>
        <v/>
      </c>
      <c r="Q154" s="272" t="str">
        <f>IF(ISERROR(Liab!R24),"",IF(Liab!R24=0,"",Liab!R24))</f>
        <v/>
      </c>
      <c r="R154" s="272" t="str">
        <f>IF(ISERROR(Liab!S24),"",IF(Liab!S24=0,"",Liab!S24))</f>
        <v/>
      </c>
      <c r="S154" s="272" t="str">
        <f>IF(ISERROR(Liab!T24),"",IF(Liab!T24=0,"",Liab!T24))</f>
        <v/>
      </c>
      <c r="T154" s="272" t="str">
        <f>IF(ISERROR(Liab!U24),"",IF(Liab!U24=0,"",Liab!U24))</f>
        <v/>
      </c>
      <c r="U154" s="272" t="str">
        <f>IF(ISERROR(Liab!V24),"",IF(Liab!V24=0,"",Liab!V24))</f>
        <v/>
      </c>
      <c r="V154" s="623"/>
    </row>
    <row r="155" spans="1:22" s="297" customFormat="1" ht="14.25" customHeight="1" x14ac:dyDescent="0.25">
      <c r="A155" s="316" t="s">
        <v>417</v>
      </c>
      <c r="B155" s="273" t="str">
        <f>IF(ISERROR(B154/('Oper.St.'!C34+'Oper.St.'!C38)*365),"",IF(B154/('Oper.St.'!C34+'Oper.St.'!C38)*365=0,"",B154/('Oper.St.'!C34+'Oper.St.'!C38)*365))</f>
        <v/>
      </c>
      <c r="C155" s="273" t="str">
        <f>IF(ISERROR(C154/('Oper.St.'!D34+'Oper.St.'!D38)*365),"",IF(C154/('Oper.St.'!D34+'Oper.St.'!D38)*365=0,"",C154/('Oper.St.'!D34+'Oper.St.'!D38)*365))</f>
        <v/>
      </c>
      <c r="D155" s="273" t="str">
        <f>IF(ISERROR(D154/('Oper.St.'!E34+'Oper.St.'!E38)*365),"",IF(D154/('Oper.St.'!E34+'Oper.St.'!E38)*365=0,"",D154/('Oper.St.'!E34+'Oper.St.'!E38)*365))</f>
        <v/>
      </c>
      <c r="E155" s="273" t="str">
        <f>IF(ISERROR(E154/('Oper.St.'!F34+'Oper.St.'!F38)*365),"",IF(E154/('Oper.St.'!F34+'Oper.St.'!F38)*365=0,"",E154/('Oper.St.'!F34+'Oper.St.'!F38)*365))</f>
        <v/>
      </c>
      <c r="F155" s="273">
        <f>IF(ISERROR(F154/('Oper.St.'!G34+'Oper.St.'!G38)*365),"",IF(F154/('Oper.St.'!G34+'Oper.St.'!G38)*365=0,"",F154/('Oper.St.'!G34+'Oper.St.'!G38)*365))</f>
        <v>8.5480093676814999</v>
      </c>
      <c r="G155" s="273">
        <f>IF(ISERROR(G154/('Oper.St.'!H34+'Oper.St.'!H38)*365),"",IF(G154/('Oper.St.'!H34+'Oper.St.'!H38)*365=0,"",G154/('Oper.St.'!H34+'Oper.St.'!H38)*365))</f>
        <v>39.303661162957646</v>
      </c>
      <c r="H155" s="273">
        <f>IF(ISERROR(H154/('Oper.St.'!I34+'Oper.St.'!I38)*365),"",IF(H154/('Oper.St.'!I34+'Oper.St.'!I38)*365=0,"",H154/('Oper.St.'!I34+'Oper.St.'!I38)*365))</f>
        <v>30</v>
      </c>
      <c r="I155" s="273">
        <f>IF(ISERROR(I154/('Oper.St.'!J34+'Oper.St.'!J38)*365),"",IF(I154/('Oper.St.'!J34+'Oper.St.'!J38)*365=0,"",I154/('Oper.St.'!J34+'Oper.St.'!J38)*365))</f>
        <v>18.814432989690722</v>
      </c>
      <c r="J155" s="273">
        <f>IF(ISERROR(J154/('Oper.St.'!K34+'Oper.St.'!K38)*365),"",IF(J154/('Oper.St.'!K34+'Oper.St.'!K38)*365=0,"",J154/('Oper.St.'!K34+'Oper.St.'!K38)*365))</f>
        <v>12.732558139534884</v>
      </c>
      <c r="K155" s="273">
        <f>IF(ISERROR(K154/('Oper.St.'!L34+'Oper.St.'!L38)*365),"",IF(K154/('Oper.St.'!L34+'Oper.St.'!L38)*365=0,"",K154/('Oper.St.'!L34+'Oper.St.'!L38)*365))</f>
        <v>7.8326180257510734</v>
      </c>
      <c r="L155" s="273">
        <f>IF(ISERROR(L154/('Oper.St.'!M34+'Oper.St.'!M38)*365),"",IF(L154/('Oper.St.'!M34+'Oper.St.'!M38)*365=0,"",L154/('Oper.St.'!M34+'Oper.St.'!M38)*365))</f>
        <v>3.65</v>
      </c>
      <c r="M155" s="273" t="str">
        <f>IF(ISERROR(M154/('Oper.St.'!N34+'Oper.St.'!N38)*365),"",IF(M154/('Oper.St.'!N34+'Oper.St.'!N38)*365=0,"",M154/('Oper.St.'!N34+'Oper.St.'!N38)*365))</f>
        <v/>
      </c>
      <c r="N155" s="273" t="str">
        <f>IF(ISERROR(N154/('Oper.St.'!O34+'Oper.St.'!O38)*365),"",IF(N154/('Oper.St.'!O34+'Oper.St.'!O38)*365=0,"",N154/('Oper.St.'!O34+'Oper.St.'!O38)*365))</f>
        <v/>
      </c>
      <c r="O155" s="273" t="str">
        <f>IF(ISERROR(O154/('Oper.St.'!P34+'Oper.St.'!P38)*365),"",IF(O154/('Oper.St.'!P34+'Oper.St.'!P38)*365=0,"",O154/('Oper.St.'!P34+'Oper.St.'!P38)*365))</f>
        <v/>
      </c>
      <c r="P155" s="273" t="str">
        <f>IF(ISERROR(P154/('Oper.St.'!Q34+'Oper.St.'!Q38)*365),"",IF(P154/('Oper.St.'!Q34+'Oper.St.'!Q38)*365=0,"",P154/('Oper.St.'!Q34+'Oper.St.'!Q38)*365))</f>
        <v/>
      </c>
      <c r="Q155" s="273" t="str">
        <f>IF(ISERROR(Q154/('Oper.St.'!R34+'Oper.St.'!R38)*365),"",IF(Q154/('Oper.St.'!R34+'Oper.St.'!R38)*365=0,"",Q154/('Oper.St.'!R34+'Oper.St.'!R38)*365))</f>
        <v/>
      </c>
      <c r="R155" s="273" t="str">
        <f>IF(ISERROR(R154/('Oper.St.'!S34+'Oper.St.'!S38)*365),"",IF(R154/('Oper.St.'!S34+'Oper.St.'!S38)*365=0,"",R154/('Oper.St.'!S34+'Oper.St.'!S38)*365))</f>
        <v/>
      </c>
      <c r="S155" s="273" t="str">
        <f>IF(ISERROR(S154/('Oper.St.'!T34+'Oper.St.'!T38)*365),"",IF(S154/('Oper.St.'!T34+'Oper.St.'!T38)*365=0,"",S154/('Oper.St.'!T34+'Oper.St.'!T38)*365))</f>
        <v/>
      </c>
      <c r="T155" s="273" t="str">
        <f>IF(ISERROR(T154/('Oper.St.'!U34+'Oper.St.'!U38)*365),"",IF(T154/('Oper.St.'!U34+'Oper.St.'!U38)*365=0,"",T154/('Oper.St.'!U34+'Oper.St.'!U38)*365))</f>
        <v/>
      </c>
      <c r="U155" s="273" t="str">
        <f>IF(ISERROR(U154/('Oper.St.'!V34+'Oper.St.'!V38)*365),"",IF(U154/('Oper.St.'!V34+'Oper.St.'!V38)*365=0,"",U154/('Oper.St.'!V34+'Oper.St.'!V38)*365))</f>
        <v/>
      </c>
      <c r="V155" s="613"/>
    </row>
    <row r="156" spans="1:22" s="315" customFormat="1" ht="14.25" customHeight="1" x14ac:dyDescent="0.2">
      <c r="A156" s="314" t="s">
        <v>406</v>
      </c>
      <c r="B156" s="272">
        <f>IF(ISERROR(Asset!C12+Asset!C17+Asset!C39+Asset!C42+Asset!C45+SUM(Asset!C47:C49)),"",IF(Asset!C12+Asset!C17+Asset!C39+Asset!C42+Asset!C45+SUM(Asset!C47:C49)=0,"",Asset!C12+Asset!C17+Asset!C39+Asset!C42+Asset!C45+SUM(Asset!C47:C49)))</f>
        <v>0.2</v>
      </c>
      <c r="C156" s="272">
        <f>IF(ISERROR(Asset!D12+Asset!D17+Asset!D39+Asset!D42+Asset!D45+SUM(Asset!D47:D49)),"",IF(Asset!D12+Asset!D17+Asset!D39+Asset!D42+Asset!D45+SUM(Asset!D47:D49)=0,"",Asset!D12+Asset!D17+Asset!D39+Asset!D42+Asset!D45+SUM(Asset!D47:D49)))</f>
        <v>0.27</v>
      </c>
      <c r="D156" s="272">
        <f>IF(ISERROR(Asset!E12+Asset!E17+Asset!E39+Asset!E42+Asset!E45+SUM(Asset!E47:E49)),"",IF(Asset!E12+Asset!E17+Asset!E39+Asset!E42+Asset!E45+SUM(Asset!E47:E49)=0,"",Asset!E12+Asset!E17+Asset!E39+Asset!E42+Asset!E45+SUM(Asset!E47:E49)))</f>
        <v>0.4</v>
      </c>
      <c r="E156" s="272">
        <f>IF(ISERROR(Asset!F12+Asset!F17+Asset!F39+Asset!F42+Asset!F45+SUM(Asset!F47:F49)),"",IF(Asset!F12+Asset!F17+Asset!F39+Asset!F42+Asset!F45+SUM(Asset!F47:F49)=0,"",Asset!F12+Asset!F17+Asset!F39+Asset!F42+Asset!F45+SUM(Asset!F47:F49)))</f>
        <v>0.47</v>
      </c>
      <c r="F156" s="272">
        <f>IF(ISERROR(Asset!G12+Asset!G17+Asset!G39+Asset!G42+Asset!G45+SUM(Asset!G47:G49)),"",IF(Asset!G12+Asset!G17+Asset!G39+Asset!G42+Asset!G45+SUM(Asset!G47:G49)=0,"",Asset!G12+Asset!G17+Asset!G39+Asset!G42+Asset!G45+SUM(Asset!G47:G49)))</f>
        <v>1.86</v>
      </c>
      <c r="G156" s="272">
        <f>IF(ISERROR(Asset!H12+Asset!H17+Asset!H39+Asset!H42+Asset!H45+SUM(Asset!H47:H49)),"",IF(Asset!H12+Asset!H17+Asset!H39+Asset!H42+Asset!H45+SUM(Asset!H47:H49)=0,"",Asset!H12+Asset!H17+Asset!H39+Asset!H42+Asset!H45+SUM(Asset!H47:H49)))</f>
        <v>2.2349131250000007</v>
      </c>
      <c r="H156" s="272">
        <f>IF(ISERROR(Asset!I12+Asset!I17+Asset!I39+Asset!I42+Asset!I45+SUM(Asset!I47:I49)),"",IF(Asset!I12+Asset!I17+Asset!I39+Asset!I42+Asset!I45+SUM(Asset!I47:I49)=0,"",Asset!I12+Asset!I17+Asset!I39+Asset!I42+Asset!I45+SUM(Asset!I47:I49)))</f>
        <v>2.5230957500000004</v>
      </c>
      <c r="I156" s="272">
        <f>IF(ISERROR(Asset!J12+Asset!J17+Asset!J39+Asset!J42+Asset!J45+SUM(Asset!J47:J49)),"",IF(Asset!J12+Asset!J17+Asset!J39+Asset!J42+Asset!J45+SUM(Asset!J47:J49)=0,"",Asset!J12+Asset!J17+Asset!J39+Asset!J42+Asset!J45+SUM(Asset!J47:J49)))</f>
        <v>3.0755551875</v>
      </c>
      <c r="J156" s="272">
        <f>IF(ISERROR(Asset!K12+Asset!K17+Asset!K39+Asset!K42+Asset!K45+SUM(Asset!K47:K49)),"",IF(Asset!K12+Asset!K17+Asset!K39+Asset!K42+Asset!K45+SUM(Asset!K47:K49)=0,"",Asset!K12+Asset!K17+Asset!K39+Asset!K42+Asset!K45+SUM(Asset!K47:K49)))</f>
        <v>3.4832041249999985</v>
      </c>
      <c r="K156" s="272">
        <f>IF(ISERROR(Asset!L12+Asset!L17+Asset!L39+Asset!L42+Asset!L45+SUM(Asset!L47:L49)),"",IF(Asset!L12+Asset!L17+Asset!L39+Asset!L42+Asset!L45+SUM(Asset!L47:L49)=0,"",Asset!L12+Asset!L17+Asset!L39+Asset!L42+Asset!L45+SUM(Asset!L47:L49)))</f>
        <v>3.8930587500000002</v>
      </c>
      <c r="L156" s="272">
        <f>IF(ISERROR(Asset!M12+Asset!M17+Asset!M39+Asset!M42+Asset!M45+SUM(Asset!M47:M49)),"",IF(Asset!M12+Asset!M17+Asset!M39+Asset!M42+Asset!M45+SUM(Asset!M47:M49)=0,"",Asset!M12+Asset!M17+Asset!M39+Asset!M42+Asset!M45+SUM(Asset!M47:M49)))</f>
        <v>4.1194078124999995</v>
      </c>
      <c r="M156" s="272" t="str">
        <f>IF(ISERROR(Asset!N12+Asset!N17+Asset!N39+Asset!N42+Asset!N45+SUM(Asset!N47:N49)),"",IF(Asset!N12+Asset!N17+Asset!N39+Asset!N42+Asset!N45+SUM(Asset!N47:N49)=0,"",Asset!N12+Asset!N17+Asset!N39+Asset!N42+Asset!N45+SUM(Asset!N47:N49)))</f>
        <v/>
      </c>
      <c r="N156" s="272" t="str">
        <f>IF(ISERROR(Asset!O12+Asset!O17+Asset!O39+Asset!O42+Asset!O45+SUM(Asset!O47:O49)),"",IF(Asset!O12+Asset!O17+Asset!O39+Asset!O42+Asset!O45+SUM(Asset!O47:O49)=0,"",Asset!O12+Asset!O17+Asset!O39+Asset!O42+Asset!O45+SUM(Asset!O47:O49)))</f>
        <v/>
      </c>
      <c r="O156" s="272" t="str">
        <f>IF(ISERROR(Asset!P12+Asset!P17+Asset!P39+Asset!P42+Asset!P45+SUM(Asset!P47:P49)),"",IF(Asset!P12+Asset!P17+Asset!P39+Asset!P42+Asset!P45+SUM(Asset!P47:P49)=0,"",Asset!P12+Asset!P17+Asset!P39+Asset!P42+Asset!P45+SUM(Asset!P47:P49)))</f>
        <v/>
      </c>
      <c r="P156" s="272" t="str">
        <f>IF(ISERROR(Asset!Q12+Asset!Q17+Asset!Q39+Asset!Q42+Asset!Q45+SUM(Asset!Q47:Q49)),"",IF(Asset!Q12+Asset!Q17+Asset!Q39+Asset!Q42+Asset!Q45+SUM(Asset!Q47:Q49)=0,"",Asset!Q12+Asset!Q17+Asset!Q39+Asset!Q42+Asset!Q45+SUM(Asset!Q47:Q49)))</f>
        <v/>
      </c>
      <c r="Q156" s="272" t="str">
        <f>IF(ISERROR(Asset!R12+Asset!R17+Asset!R39+Asset!R42+Asset!R45+SUM(Asset!R47:R49)),"",IF(Asset!R12+Asset!R17+Asset!R39+Asset!R42+Asset!R45+SUM(Asset!R47:R49)=0,"",Asset!R12+Asset!R17+Asset!R39+Asset!R42+Asset!R45+SUM(Asset!R47:R49)))</f>
        <v/>
      </c>
      <c r="R156" s="272" t="str">
        <f>IF(ISERROR(Asset!S12+Asset!S17+Asset!S39+Asset!S42+Asset!S45+SUM(Asset!S47:S49)),"",IF(Asset!S12+Asset!S17+Asset!S39+Asset!S42+Asset!S45+SUM(Asset!S47:S49)=0,"",Asset!S12+Asset!S17+Asset!S39+Asset!S42+Asset!S45+SUM(Asset!S47:S49)))</f>
        <v/>
      </c>
      <c r="S156" s="272" t="str">
        <f>IF(ISERROR(Asset!T12+Asset!T17+Asset!T39+Asset!T42+Asset!T45+SUM(Asset!T47:T49)),"",IF(Asset!T12+Asset!T17+Asset!T39+Asset!T42+Asset!T45+SUM(Asset!T47:T49)=0,"",Asset!T12+Asset!T17+Asset!T39+Asset!T42+Asset!T45+SUM(Asset!T47:T49)))</f>
        <v/>
      </c>
      <c r="T156" s="272" t="str">
        <f>IF(ISERROR(Asset!U12+Asset!U17+Asset!U39+Asset!U42+Asset!U45+SUM(Asset!U47:U49)),"",IF(Asset!U12+Asset!U17+Asset!U39+Asset!U42+Asset!U45+SUM(Asset!U47:U49)=0,"",Asset!U12+Asset!U17+Asset!U39+Asset!U42+Asset!U45+SUM(Asset!U47:U49)))</f>
        <v/>
      </c>
      <c r="U156" s="272" t="str">
        <f>IF(ISERROR(Asset!V12+Asset!V17+Asset!V39+Asset!V42+Asset!V45+SUM(Asset!V47:V49)),"",IF(Asset!V12+Asset!V17+Asset!V39+Asset!V42+Asset!V45+SUM(Asset!V47:V49)=0,"",Asset!V12+Asset!V17+Asset!V39+Asset!V42+Asset!V45+SUM(Asset!V47:V49)))</f>
        <v/>
      </c>
      <c r="V156" s="623"/>
    </row>
    <row r="157" spans="1:22" ht="15" customHeight="1" x14ac:dyDescent="0.25">
      <c r="A157" s="620" t="s">
        <v>466</v>
      </c>
      <c r="B157" s="610"/>
      <c r="C157" s="610"/>
      <c r="D157" s="610"/>
      <c r="E157" s="610"/>
      <c r="F157" s="610"/>
      <c r="G157" s="610"/>
      <c r="H157" s="610"/>
      <c r="I157" s="610"/>
      <c r="J157" s="610"/>
      <c r="K157" s="610"/>
      <c r="L157" s="610"/>
      <c r="M157" s="610"/>
      <c r="N157" s="610"/>
      <c r="O157" s="610"/>
      <c r="P157" s="610"/>
      <c r="Q157" s="610"/>
      <c r="R157" s="610"/>
      <c r="S157" s="610"/>
      <c r="T157" s="610"/>
      <c r="U157" s="610"/>
      <c r="V157" s="612"/>
    </row>
    <row r="158" spans="1:22" s="297" customFormat="1" ht="12.75" customHeight="1" x14ac:dyDescent="0.25">
      <c r="A158" s="296"/>
      <c r="B158" s="261">
        <f>B3</f>
        <v>2020</v>
      </c>
      <c r="C158" s="261">
        <f t="shared" ref="C158:O158" si="58">C3</f>
        <v>2021</v>
      </c>
      <c r="D158" s="261">
        <f t="shared" si="58"/>
        <v>2022</v>
      </c>
      <c r="E158" s="261">
        <f t="shared" si="58"/>
        <v>2023</v>
      </c>
      <c r="F158" s="261">
        <f t="shared" si="58"/>
        <v>2024</v>
      </c>
      <c r="G158" s="261">
        <f t="shared" si="58"/>
        <v>2025</v>
      </c>
      <c r="H158" s="261">
        <f t="shared" si="58"/>
        <v>2026</v>
      </c>
      <c r="I158" s="261">
        <f t="shared" si="58"/>
        <v>2027</v>
      </c>
      <c r="J158" s="261">
        <f t="shared" si="58"/>
        <v>2028</v>
      </c>
      <c r="K158" s="261">
        <f t="shared" si="58"/>
        <v>2029</v>
      </c>
      <c r="L158" s="261">
        <f t="shared" si="58"/>
        <v>2030</v>
      </c>
      <c r="M158" s="261">
        <f t="shared" si="58"/>
        <v>2031</v>
      </c>
      <c r="N158" s="261">
        <f t="shared" si="58"/>
        <v>2032</v>
      </c>
      <c r="O158" s="261">
        <f t="shared" si="58"/>
        <v>2033</v>
      </c>
      <c r="P158" s="261">
        <f t="shared" ref="P158:U158" si="59">P3</f>
        <v>2034</v>
      </c>
      <c r="Q158" s="261">
        <f t="shared" si="59"/>
        <v>2035</v>
      </c>
      <c r="R158" s="261">
        <f t="shared" si="59"/>
        <v>2036</v>
      </c>
      <c r="S158" s="261">
        <f t="shared" si="59"/>
        <v>2037</v>
      </c>
      <c r="T158" s="261">
        <f t="shared" si="59"/>
        <v>2038</v>
      </c>
      <c r="U158" s="261">
        <f t="shared" si="59"/>
        <v>2039</v>
      </c>
      <c r="V158" s="613"/>
    </row>
    <row r="159" spans="1:22" s="297" customFormat="1" ht="12.75" customHeight="1" x14ac:dyDescent="0.25">
      <c r="A159" s="296"/>
      <c r="B159" s="261" t="str">
        <f>B141</f>
        <v>AUD.</v>
      </c>
      <c r="C159" s="261" t="str">
        <f t="shared" ref="C159:O159" si="60">C141</f>
        <v>AUD.</v>
      </c>
      <c r="D159" s="261" t="str">
        <f t="shared" si="60"/>
        <v>AUD.</v>
      </c>
      <c r="E159" s="261" t="str">
        <f t="shared" si="60"/>
        <v>EST.</v>
      </c>
      <c r="F159" s="261" t="str">
        <f t="shared" si="60"/>
        <v>PROJ.</v>
      </c>
      <c r="G159" s="261" t="str">
        <f t="shared" si="60"/>
        <v>PROJ.</v>
      </c>
      <c r="H159" s="261" t="str">
        <f t="shared" si="60"/>
        <v>PROJ.</v>
      </c>
      <c r="I159" s="261" t="str">
        <f t="shared" si="60"/>
        <v>PROJ.</v>
      </c>
      <c r="J159" s="261" t="str">
        <f t="shared" si="60"/>
        <v>PROJ.</v>
      </c>
      <c r="K159" s="261" t="str">
        <f t="shared" si="60"/>
        <v>PROJ.</v>
      </c>
      <c r="L159" s="261" t="str">
        <f t="shared" si="60"/>
        <v>PROJ.</v>
      </c>
      <c r="M159" s="261" t="str">
        <f t="shared" si="60"/>
        <v>PROJ.</v>
      </c>
      <c r="N159" s="261" t="str">
        <f t="shared" si="60"/>
        <v>PROJ.</v>
      </c>
      <c r="O159" s="261" t="str">
        <f t="shared" si="60"/>
        <v>PROJ.</v>
      </c>
      <c r="P159" s="261" t="str">
        <f t="shared" ref="P159:U159" si="61">P141</f>
        <v>PROJ.</v>
      </c>
      <c r="Q159" s="261" t="str">
        <f t="shared" si="61"/>
        <v>PROJ.</v>
      </c>
      <c r="R159" s="261" t="str">
        <f t="shared" si="61"/>
        <v>PROJ.</v>
      </c>
      <c r="S159" s="261" t="str">
        <f t="shared" si="61"/>
        <v>PROJ.</v>
      </c>
      <c r="T159" s="261" t="str">
        <f t="shared" si="61"/>
        <v>PROJ.</v>
      </c>
      <c r="U159" s="261" t="str">
        <f t="shared" si="61"/>
        <v>PROJ.</v>
      </c>
      <c r="V159" s="613"/>
    </row>
    <row r="160" spans="1:22" x14ac:dyDescent="0.2">
      <c r="A160" s="287" t="s">
        <v>418</v>
      </c>
      <c r="B160" s="256">
        <f>IF(ISERROR(Asset!C51),"",IF(Asset!C51=0,"",Asset!C51))</f>
        <v>0.21000000000000002</v>
      </c>
      <c r="C160" s="256">
        <f>IF(ISERROR(Asset!D51),"",IF(Asset!D51=0,"",Asset!D51))</f>
        <v>0.37000000000000005</v>
      </c>
      <c r="D160" s="256">
        <f>IF(ISERROR(Asset!E51),"",IF(Asset!E51=0,"",Asset!E51))</f>
        <v>0.69</v>
      </c>
      <c r="E160" s="256">
        <f>IF(ISERROR(Asset!F51),"",IF(Asset!F51=0,"",Asset!F51))</f>
        <v>1.0699999999999998</v>
      </c>
      <c r="F160" s="256">
        <f>IF(ISERROR(Asset!G51),"",IF(Asset!G51=0,"",Asset!G51))</f>
        <v>6.3599999999999994</v>
      </c>
      <c r="G160" s="256">
        <f>IF(ISERROR(Asset!H51),"",IF(Asset!H51=0,"",Asset!H51))</f>
        <v>9.5449131250000008</v>
      </c>
      <c r="H160" s="256">
        <f>IF(ISERROR(Asset!I51),"",IF(Asset!I51=0,"",Asset!I51))</f>
        <v>12.09309575</v>
      </c>
      <c r="I160" s="256">
        <f>IF(ISERROR(Asset!J51),"",IF(Asset!J51=0,"",Asset!J51))</f>
        <v>13.575555187500001</v>
      </c>
      <c r="J160" s="256">
        <f>IF(ISERROR(Asset!K51),"",IF(Asset!K51=0,"",Asset!K51))</f>
        <v>14.913204124999998</v>
      </c>
      <c r="K160" s="256">
        <f>IF(ISERROR(Asset!L51),"",IF(Asset!L51=0,"",Asset!L51))</f>
        <v>16.003058750000001</v>
      </c>
      <c r="L160" s="256">
        <f>IF(ISERROR(Asset!M51),"",IF(Asset!M51=0,"",Asset!M51))</f>
        <v>16.699407812500002</v>
      </c>
      <c r="M160" s="256" t="str">
        <f>IF(ISERROR(Asset!N51),"",IF(Asset!N51=0,"",Asset!N51))</f>
        <v/>
      </c>
      <c r="N160" s="256" t="str">
        <f>IF(ISERROR(Asset!O51),"",IF(Asset!O51=0,"",Asset!O51))</f>
        <v/>
      </c>
      <c r="O160" s="256" t="str">
        <f>IF(ISERROR(Asset!P51),"",IF(Asset!P51=0,"",Asset!P51))</f>
        <v/>
      </c>
      <c r="P160" s="256" t="str">
        <f>IF(ISERROR(Asset!Q51),"",IF(Asset!Q51=0,"",Asset!Q51))</f>
        <v/>
      </c>
      <c r="Q160" s="256" t="str">
        <f>IF(ISERROR(Asset!R51),"",IF(Asset!R51=0,"",Asset!R51))</f>
        <v/>
      </c>
      <c r="R160" s="256" t="str">
        <f>IF(ISERROR(Asset!S51),"",IF(Asset!S51=0,"",Asset!S51))</f>
        <v/>
      </c>
      <c r="S160" s="256" t="str">
        <f>IF(ISERROR(Asset!T51),"",IF(Asset!T51=0,"",Asset!T51))</f>
        <v/>
      </c>
      <c r="T160" s="256" t="str">
        <f>IF(ISERROR(Asset!U51),"",IF(Asset!U51=0,"",Asset!U51))</f>
        <v/>
      </c>
      <c r="U160" s="256" t="str">
        <f>IF(ISERROR(Asset!V51),"",IF(Asset!V51=0,"",Asset!V51))</f>
        <v/>
      </c>
      <c r="V160" s="612"/>
    </row>
    <row r="161" spans="1:22" x14ac:dyDescent="0.2">
      <c r="A161" s="287" t="s">
        <v>419</v>
      </c>
      <c r="B161" s="256">
        <f>IF(ISERROR(Liab!C45),"",IF(Liab!C45=0,"",Liab!C45))</f>
        <v>0.16</v>
      </c>
      <c r="C161" s="256">
        <f>IF(ISERROR(Liab!D45),"",IF(Liab!D45=0,"",Liab!D45))</f>
        <v>0.15</v>
      </c>
      <c r="D161" s="256">
        <f>IF(ISERROR(Liab!E45),"",IF(Liab!E45=0,"",Liab!E45))</f>
        <v>1.2500000000000002</v>
      </c>
      <c r="E161" s="256">
        <f>IF(ISERROR(Liab!F45),"",IF(Liab!F45=0,"",Liab!F45))</f>
        <v>1.6829999999999998</v>
      </c>
      <c r="F161" s="256">
        <f>IF(ISERROR(Liab!G45),"",IF(Liab!G45=0,"",Liab!G45))</f>
        <v>2.64</v>
      </c>
      <c r="G161" s="256">
        <f>IF(ISERROR(Liab!H45),"",IF(Liab!H45=0,"",Liab!H45))</f>
        <v>3.5932175000000011</v>
      </c>
      <c r="H161" s="256">
        <f>IF(ISERROR(Liab!I45),"",IF(Liab!I45=0,"",Liab!I45))</f>
        <v>4.1474609999999998</v>
      </c>
      <c r="I161" s="256">
        <f>IF(ISERROR(Liab!J45),"",IF(Liab!J45=0,"",Liab!J45))</f>
        <v>4.0707402500000001</v>
      </c>
      <c r="J161" s="256">
        <f>IF(ISERROR(Liab!K45),"",IF(Liab!K45=0,"",Liab!K45))</f>
        <v>4.1476054999999983</v>
      </c>
      <c r="K161" s="256">
        <f>IF(ISERROR(Liab!L45),"",IF(Liab!L45=0,"",Liab!L45))</f>
        <v>4.5907450000000001</v>
      </c>
      <c r="L161" s="256">
        <f>IF(ISERROR(Liab!M45),"",IF(Liab!M45=0,"",Liab!M45))</f>
        <v>1.4925437499999994</v>
      </c>
      <c r="M161" s="256" t="str">
        <f>IF(ISERROR(Liab!N45),"",IF(Liab!N45=0,"",Liab!N45))</f>
        <v/>
      </c>
      <c r="N161" s="256" t="str">
        <f>IF(ISERROR(Liab!O45),"",IF(Liab!O45=0,"",Liab!O45))</f>
        <v/>
      </c>
      <c r="O161" s="256" t="str">
        <f>IF(ISERROR(Liab!P45),"",IF(Liab!P45=0,"",Liab!P45))</f>
        <v/>
      </c>
      <c r="P161" s="256" t="str">
        <f>IF(ISERROR(Liab!Q45),"",IF(Liab!Q45=0,"",Liab!Q45))</f>
        <v/>
      </c>
      <c r="Q161" s="256" t="str">
        <f>IF(ISERROR(Liab!R45),"",IF(Liab!R45=0,"",Liab!R45))</f>
        <v/>
      </c>
      <c r="R161" s="256" t="str">
        <f>IF(ISERROR(Liab!S45),"",IF(Liab!S45=0,"",Liab!S45))</f>
        <v/>
      </c>
      <c r="S161" s="256" t="str">
        <f>IF(ISERROR(Liab!T45),"",IF(Liab!T45=0,"",Liab!T45))</f>
        <v/>
      </c>
      <c r="T161" s="256" t="str">
        <f>IF(ISERROR(Liab!U45),"",IF(Liab!U45=0,"",Liab!U45))</f>
        <v/>
      </c>
      <c r="U161" s="256" t="str">
        <f>IF(ISERROR(Liab!V45),"",IF(Liab!V45=0,"",Liab!V45))</f>
        <v/>
      </c>
      <c r="V161" s="612"/>
    </row>
    <row r="162" spans="1:22" x14ac:dyDescent="0.2">
      <c r="A162" s="287" t="s">
        <v>420</v>
      </c>
      <c r="B162" s="256">
        <f>IF(ISERROR(B160-B161),"",IF(B160-B161=0,"",B160-B161))</f>
        <v>5.0000000000000017E-2</v>
      </c>
      <c r="C162" s="256">
        <f t="shared" ref="C162:U162" si="62">IF(ISERROR(C160-C161),"",IF(C160-C161=0,"",C160-C161))</f>
        <v>0.22000000000000006</v>
      </c>
      <c r="D162" s="256">
        <f t="shared" si="62"/>
        <v>-0.56000000000000028</v>
      </c>
      <c r="E162" s="256">
        <f t="shared" si="62"/>
        <v>-0.61299999999999999</v>
      </c>
      <c r="F162" s="256">
        <f t="shared" si="62"/>
        <v>3.7199999999999993</v>
      </c>
      <c r="G162" s="256">
        <f t="shared" si="62"/>
        <v>5.9516956249999993</v>
      </c>
      <c r="H162" s="256">
        <f t="shared" si="62"/>
        <v>7.94563475</v>
      </c>
      <c r="I162" s="256">
        <f t="shared" si="62"/>
        <v>9.5048149375000008</v>
      </c>
      <c r="J162" s="256">
        <f t="shared" si="62"/>
        <v>10.765598624999999</v>
      </c>
      <c r="K162" s="256">
        <f t="shared" si="62"/>
        <v>11.412313750000001</v>
      </c>
      <c r="L162" s="256">
        <f t="shared" si="62"/>
        <v>15.206864062500003</v>
      </c>
      <c r="M162" s="256" t="str">
        <f t="shared" si="62"/>
        <v/>
      </c>
      <c r="N162" s="256" t="str">
        <f t="shared" si="62"/>
        <v/>
      </c>
      <c r="O162" s="256" t="str">
        <f t="shared" si="62"/>
        <v/>
      </c>
      <c r="P162" s="256" t="str">
        <f t="shared" si="62"/>
        <v/>
      </c>
      <c r="Q162" s="256" t="str">
        <f t="shared" si="62"/>
        <v/>
      </c>
      <c r="R162" s="256" t="str">
        <f t="shared" si="62"/>
        <v/>
      </c>
      <c r="S162" s="256" t="str">
        <f t="shared" si="62"/>
        <v/>
      </c>
      <c r="T162" s="256" t="str">
        <f t="shared" si="62"/>
        <v/>
      </c>
      <c r="U162" s="256" t="str">
        <f t="shared" si="62"/>
        <v/>
      </c>
      <c r="V162" s="612"/>
    </row>
    <row r="163" spans="1:22" x14ac:dyDescent="0.2">
      <c r="A163" s="287" t="s">
        <v>22</v>
      </c>
      <c r="B163" s="256">
        <f>IF(ISERROR(B162-B164),"",IF(B162-B164=0,"",B162-B164))</f>
        <v>5.0000000000000017E-2</v>
      </c>
      <c r="C163" s="256">
        <f t="shared" ref="C163:U163" si="63">IF(ISERROR(C162-C164),"",IF(C162-C164=0,"",C162-C164))</f>
        <v>0.22000000000000006</v>
      </c>
      <c r="D163" s="256">
        <f t="shared" si="63"/>
        <v>-0.56000000000000028</v>
      </c>
      <c r="E163" s="256">
        <f t="shared" si="63"/>
        <v>-0.61299999999999999</v>
      </c>
      <c r="F163" s="256">
        <f t="shared" si="63"/>
        <v>1.7199999999999993</v>
      </c>
      <c r="G163" s="256">
        <f t="shared" si="63"/>
        <v>3.9516956249999993</v>
      </c>
      <c r="H163" s="256">
        <f t="shared" si="63"/>
        <v>5.94563475</v>
      </c>
      <c r="I163" s="256">
        <f t="shared" si="63"/>
        <v>7.5048149375000008</v>
      </c>
      <c r="J163" s="256">
        <f t="shared" si="63"/>
        <v>8.7655986249999991</v>
      </c>
      <c r="K163" s="256">
        <f t="shared" si="63"/>
        <v>9.4123137500000009</v>
      </c>
      <c r="L163" s="256">
        <f t="shared" si="63"/>
        <v>13.206864062500003</v>
      </c>
      <c r="M163" s="256" t="str">
        <f t="shared" si="63"/>
        <v/>
      </c>
      <c r="N163" s="256" t="str">
        <f t="shared" si="63"/>
        <v/>
      </c>
      <c r="O163" s="256" t="str">
        <f t="shared" si="63"/>
        <v/>
      </c>
      <c r="P163" s="256" t="str">
        <f t="shared" si="63"/>
        <v/>
      </c>
      <c r="Q163" s="256" t="str">
        <f t="shared" si="63"/>
        <v/>
      </c>
      <c r="R163" s="256" t="str">
        <f t="shared" si="63"/>
        <v/>
      </c>
      <c r="S163" s="256" t="str">
        <f t="shared" si="63"/>
        <v/>
      </c>
      <c r="T163" s="256" t="str">
        <f t="shared" si="63"/>
        <v/>
      </c>
      <c r="U163" s="256" t="str">
        <f t="shared" si="63"/>
        <v/>
      </c>
      <c r="V163" s="612"/>
    </row>
    <row r="164" spans="1:22" x14ac:dyDescent="0.2">
      <c r="A164" s="287" t="s">
        <v>421</v>
      </c>
      <c r="B164" s="256">
        <f>IF(ISERROR(Liab!C20),"",Liab!C20)</f>
        <v>0</v>
      </c>
      <c r="C164" s="256">
        <f>IF(ISERROR(Liab!D20),"",Liab!D20)</f>
        <v>0</v>
      </c>
      <c r="D164" s="256">
        <f>IF(ISERROR(Liab!E20),"",Liab!E20)</f>
        <v>0</v>
      </c>
      <c r="E164" s="256">
        <f>IF(ISERROR(Liab!F20),"",Liab!F20)</f>
        <v>0</v>
      </c>
      <c r="F164" s="256">
        <f>IF(ISERROR(Liab!G20),"",Liab!G20)</f>
        <v>2</v>
      </c>
      <c r="G164" s="256">
        <f>IF(ISERROR(Liab!H20),"",Liab!H20)</f>
        <v>2</v>
      </c>
      <c r="H164" s="256">
        <f>IF(ISERROR(Liab!I20),"",Liab!I20)</f>
        <v>2</v>
      </c>
      <c r="I164" s="256">
        <f>IF(ISERROR(Liab!J20),"",Liab!J20)</f>
        <v>2</v>
      </c>
      <c r="J164" s="256">
        <f>IF(ISERROR(Liab!K20),"",Liab!K20)</f>
        <v>2</v>
      </c>
      <c r="K164" s="256">
        <f>IF(ISERROR(Liab!L20),"",Liab!L20)</f>
        <v>2</v>
      </c>
      <c r="L164" s="256">
        <f>IF(ISERROR(Liab!M20),"",Liab!M20)</f>
        <v>2</v>
      </c>
      <c r="M164" s="256">
        <f>IF(ISERROR(Liab!N20),"",Liab!N20)</f>
        <v>0</v>
      </c>
      <c r="N164" s="256">
        <f>IF(ISERROR(Liab!O20),"",Liab!O20)</f>
        <v>0</v>
      </c>
      <c r="O164" s="256">
        <f>IF(ISERROR(Liab!P20),"",Liab!P20)</f>
        <v>0</v>
      </c>
      <c r="P164" s="256">
        <f>IF(ISERROR(Liab!Q20),"",Liab!Q20)</f>
        <v>0</v>
      </c>
      <c r="Q164" s="256">
        <f>IF(ISERROR(Liab!R20),"",Liab!R20)</f>
        <v>0</v>
      </c>
      <c r="R164" s="256">
        <f>IF(ISERROR(Liab!S20),"",Liab!S20)</f>
        <v>0</v>
      </c>
      <c r="S164" s="256">
        <f>IF(ISERROR(Liab!T20),"",Liab!T20)</f>
        <v>0</v>
      </c>
      <c r="T164" s="256">
        <f>IF(ISERROR(Liab!U20),"",Liab!U20)</f>
        <v>0</v>
      </c>
      <c r="U164" s="256">
        <f>IF(ISERROR(Liab!V20),"",Liab!V20)</f>
        <v>0</v>
      </c>
      <c r="V164" s="612"/>
    </row>
    <row r="165" spans="1:22" x14ac:dyDescent="0.2">
      <c r="A165" s="287" t="s">
        <v>422</v>
      </c>
      <c r="B165" s="271">
        <f>IF(ISERROR(B163/B160),"",IF(B163/B160=0,"",B163/B160))</f>
        <v>0.23809523809523817</v>
      </c>
      <c r="C165" s="271">
        <f t="shared" ref="C165:U165" si="64">IF(ISERROR(C163/C160),"",IF(C163/C160=0,"",C163/C160))</f>
        <v>0.59459459459459463</v>
      </c>
      <c r="D165" s="271">
        <f t="shared" si="64"/>
        <v>-0.81159420289855122</v>
      </c>
      <c r="E165" s="271">
        <f t="shared" si="64"/>
        <v>-0.57289719626168234</v>
      </c>
      <c r="F165" s="271">
        <f t="shared" si="64"/>
        <v>0.27044025157232698</v>
      </c>
      <c r="G165" s="271">
        <f t="shared" si="64"/>
        <v>0.41401064349655869</v>
      </c>
      <c r="H165" s="271">
        <f t="shared" si="64"/>
        <v>0.49165531084131209</v>
      </c>
      <c r="I165" s="271">
        <f t="shared" si="64"/>
        <v>0.55281827032829045</v>
      </c>
      <c r="J165" s="271">
        <f t="shared" si="64"/>
        <v>0.58777433417582226</v>
      </c>
      <c r="K165" s="271">
        <f t="shared" si="64"/>
        <v>0.58815717026596559</v>
      </c>
      <c r="L165" s="271">
        <f t="shared" si="64"/>
        <v>0.79085822747644219</v>
      </c>
      <c r="M165" s="271" t="str">
        <f t="shared" si="64"/>
        <v/>
      </c>
      <c r="N165" s="271" t="str">
        <f t="shared" si="64"/>
        <v/>
      </c>
      <c r="O165" s="271" t="str">
        <f t="shared" si="64"/>
        <v/>
      </c>
      <c r="P165" s="271" t="str">
        <f t="shared" si="64"/>
        <v/>
      </c>
      <c r="Q165" s="271" t="str">
        <f t="shared" si="64"/>
        <v/>
      </c>
      <c r="R165" s="271" t="str">
        <f t="shared" si="64"/>
        <v/>
      </c>
      <c r="S165" s="271" t="str">
        <f t="shared" si="64"/>
        <v/>
      </c>
      <c r="T165" s="271" t="str">
        <f t="shared" si="64"/>
        <v/>
      </c>
      <c r="U165" s="271" t="str">
        <f t="shared" si="64"/>
        <v/>
      </c>
      <c r="V165" s="612"/>
    </row>
    <row r="166" spans="1:22" x14ac:dyDescent="0.2">
      <c r="A166" s="287" t="s">
        <v>423</v>
      </c>
      <c r="B166" s="271" t="str">
        <f>IF(ISERROR(B164/B160),"",IF(B164/B160=0,"",B164/B160))</f>
        <v/>
      </c>
      <c r="C166" s="271" t="str">
        <f t="shared" ref="C166:U166" si="65">IF(ISERROR(C164/C160),"",IF(C164/C160=0,"",C164/C160))</f>
        <v/>
      </c>
      <c r="D166" s="271" t="str">
        <f t="shared" si="65"/>
        <v/>
      </c>
      <c r="E166" s="271" t="str">
        <f t="shared" si="65"/>
        <v/>
      </c>
      <c r="F166" s="271">
        <f t="shared" si="65"/>
        <v>0.31446540880503149</v>
      </c>
      <c r="G166" s="271">
        <f t="shared" si="65"/>
        <v>0.20953569443828748</v>
      </c>
      <c r="H166" s="271">
        <f t="shared" si="65"/>
        <v>0.16538362395749659</v>
      </c>
      <c r="I166" s="271">
        <f t="shared" si="65"/>
        <v>0.14732362488140044</v>
      </c>
      <c r="J166" s="271">
        <f t="shared" si="65"/>
        <v>0.13410934251528595</v>
      </c>
      <c r="K166" s="271">
        <f t="shared" si="65"/>
        <v>0.12497610808308754</v>
      </c>
      <c r="L166" s="271">
        <f t="shared" si="65"/>
        <v>0.1197647259385414</v>
      </c>
      <c r="M166" s="271" t="str">
        <f t="shared" si="65"/>
        <v/>
      </c>
      <c r="N166" s="271" t="str">
        <f t="shared" si="65"/>
        <v/>
      </c>
      <c r="O166" s="271" t="str">
        <f t="shared" si="65"/>
        <v/>
      </c>
      <c r="P166" s="271" t="str">
        <f t="shared" si="65"/>
        <v/>
      </c>
      <c r="Q166" s="271" t="str">
        <f t="shared" si="65"/>
        <v/>
      </c>
      <c r="R166" s="271" t="str">
        <f t="shared" si="65"/>
        <v/>
      </c>
      <c r="S166" s="271" t="str">
        <f t="shared" si="65"/>
        <v/>
      </c>
      <c r="T166" s="271" t="str">
        <f t="shared" si="65"/>
        <v/>
      </c>
      <c r="U166" s="271" t="str">
        <f t="shared" si="65"/>
        <v/>
      </c>
      <c r="V166" s="612"/>
    </row>
    <row r="167" spans="1:22" x14ac:dyDescent="0.2">
      <c r="A167" s="287" t="s">
        <v>426</v>
      </c>
      <c r="B167" s="271">
        <f>IF(ISERROR(B161/B160),"",IF(B161/B160=0,"",B161/B160))</f>
        <v>0.76190476190476186</v>
      </c>
      <c r="C167" s="271">
        <f t="shared" ref="C167:U167" si="66">IF(ISERROR(C161/C160),"",IF(C161/C160=0,"",C161/C160))</f>
        <v>0.40540540540540532</v>
      </c>
      <c r="D167" s="271">
        <f t="shared" si="66"/>
        <v>1.8115942028985512</v>
      </c>
      <c r="E167" s="271">
        <f t="shared" si="66"/>
        <v>1.5728971962616822</v>
      </c>
      <c r="F167" s="271">
        <f t="shared" si="66"/>
        <v>0.41509433962264158</v>
      </c>
      <c r="G167" s="271">
        <f t="shared" si="66"/>
        <v>0.37645366206515374</v>
      </c>
      <c r="H167" s="271">
        <f t="shared" si="66"/>
        <v>0.34296106520119135</v>
      </c>
      <c r="I167" s="271">
        <f t="shared" si="66"/>
        <v>0.29985810479030911</v>
      </c>
      <c r="J167" s="271">
        <f t="shared" si="66"/>
        <v>0.2781163233088918</v>
      </c>
      <c r="K167" s="271">
        <f t="shared" si="66"/>
        <v>0.2868667216509469</v>
      </c>
      <c r="L167" s="271">
        <f t="shared" si="66"/>
        <v>8.9377046585016398E-2</v>
      </c>
      <c r="M167" s="271" t="str">
        <f t="shared" si="66"/>
        <v/>
      </c>
      <c r="N167" s="271" t="str">
        <f t="shared" si="66"/>
        <v/>
      </c>
      <c r="O167" s="271" t="str">
        <f t="shared" si="66"/>
        <v/>
      </c>
      <c r="P167" s="271" t="str">
        <f t="shared" si="66"/>
        <v/>
      </c>
      <c r="Q167" s="271" t="str">
        <f t="shared" si="66"/>
        <v/>
      </c>
      <c r="R167" s="271" t="str">
        <f t="shared" si="66"/>
        <v/>
      </c>
      <c r="S167" s="271" t="str">
        <f t="shared" si="66"/>
        <v/>
      </c>
      <c r="T167" s="271" t="str">
        <f t="shared" si="66"/>
        <v/>
      </c>
      <c r="U167" s="271" t="str">
        <f t="shared" si="66"/>
        <v/>
      </c>
      <c r="V167" s="612"/>
    </row>
    <row r="168" spans="1:22" x14ac:dyDescent="0.2">
      <c r="A168" s="287" t="s">
        <v>424</v>
      </c>
      <c r="B168" s="271">
        <f>IF(ISERROR(B156/B160),"",IF(B156/B160=0,"",B156/B160))</f>
        <v>0.95238095238095233</v>
      </c>
      <c r="C168" s="271">
        <f t="shared" ref="C168:U168" si="67">IF(ISERROR(C156/C160),"",IF(C156/C160=0,"",C156/C160))</f>
        <v>0.72972972972972971</v>
      </c>
      <c r="D168" s="271">
        <f t="shared" si="67"/>
        <v>0.57971014492753636</v>
      </c>
      <c r="E168" s="271">
        <f t="shared" si="67"/>
        <v>0.43925233644859818</v>
      </c>
      <c r="F168" s="271">
        <f t="shared" si="67"/>
        <v>0.29245283018867929</v>
      </c>
      <c r="G168" s="271">
        <f t="shared" si="67"/>
        <v>0.23414703682805918</v>
      </c>
      <c r="H168" s="271">
        <f t="shared" si="67"/>
        <v>0.20863935936337893</v>
      </c>
      <c r="I168" s="271">
        <f t="shared" si="67"/>
        <v>0.2265509693726476</v>
      </c>
      <c r="J168" s="271">
        <f t="shared" si="67"/>
        <v>0.23356510752514084</v>
      </c>
      <c r="K168" s="271">
        <f t="shared" si="67"/>
        <v>0.24326966555690485</v>
      </c>
      <c r="L168" s="271">
        <f t="shared" si="67"/>
        <v>0.24667987384657439</v>
      </c>
      <c r="M168" s="271" t="str">
        <f t="shared" si="67"/>
        <v/>
      </c>
      <c r="N168" s="271" t="str">
        <f t="shared" si="67"/>
        <v/>
      </c>
      <c r="O168" s="271" t="str">
        <f t="shared" si="67"/>
        <v/>
      </c>
      <c r="P168" s="271" t="str">
        <f t="shared" si="67"/>
        <v/>
      </c>
      <c r="Q168" s="271" t="str">
        <f t="shared" si="67"/>
        <v/>
      </c>
      <c r="R168" s="271" t="str">
        <f t="shared" si="67"/>
        <v/>
      </c>
      <c r="S168" s="271" t="str">
        <f t="shared" si="67"/>
        <v/>
      </c>
      <c r="T168" s="271" t="str">
        <f t="shared" si="67"/>
        <v/>
      </c>
      <c r="U168" s="271" t="str">
        <f t="shared" si="67"/>
        <v/>
      </c>
      <c r="V168" s="612"/>
    </row>
    <row r="169" spans="1:22" x14ac:dyDescent="0.2">
      <c r="A169" s="287" t="s">
        <v>425</v>
      </c>
      <c r="B169" s="274" t="str">
        <f>IF(ISERROR(B170/Liab!C24),"",IF(B170/Liab!C24=0,"",B170/Liab!C24))</f>
        <v/>
      </c>
      <c r="C169" s="274" t="str">
        <f>IF(ISERROR(C170/Liab!D24),"",IF(C170/Liab!D24=0,"",C170/Liab!D24))</f>
        <v/>
      </c>
      <c r="D169" s="274" t="str">
        <f>IF(ISERROR(D170/Liab!E24),"",IF(D170/Liab!E24=0,"",D170/Liab!E24))</f>
        <v/>
      </c>
      <c r="E169" s="274" t="str">
        <f>IF(ISERROR(E170/Liab!F24),"",IF(E170/Liab!F24=0,"",E170/Liab!F24))</f>
        <v/>
      </c>
      <c r="F169" s="274" t="str">
        <f>IF(ISERROR(F170/Liab!G24),"",IF(F170/Liab!G24=0,"",F170/Liab!G24))</f>
        <v/>
      </c>
      <c r="G169" s="274" t="str">
        <f>IF(ISERROR(G170/Liab!H24),"",IF(G170/Liab!H24=0,"",G170/Liab!H24))</f>
        <v/>
      </c>
      <c r="H169" s="274" t="str">
        <f>IF(ISERROR(H170/Liab!I24),"",IF(H170/Liab!I24=0,"",H170/Liab!I24))</f>
        <v/>
      </c>
      <c r="I169" s="274" t="str">
        <f>IF(ISERROR(I170/Liab!J24),"",IF(I170/Liab!J24=0,"",I170/Liab!J24))</f>
        <v/>
      </c>
      <c r="J169" s="274" t="str">
        <f>IF(ISERROR(J170/Liab!K24),"",IF(J170/Liab!K24=0,"",J170/Liab!K24))</f>
        <v/>
      </c>
      <c r="K169" s="274" t="str">
        <f>IF(ISERROR(K170/Liab!L24),"",IF(K170/Liab!L24=0,"",K170/Liab!L24))</f>
        <v/>
      </c>
      <c r="L169" s="274" t="str">
        <f>IF(ISERROR(L170/Liab!M24),"",IF(L170/Liab!M24=0,"",L170/Liab!M24))</f>
        <v/>
      </c>
      <c r="M169" s="274" t="str">
        <f>IF(ISERROR(M170/Liab!N24),"",IF(M170/Liab!N24=0,"",M170/Liab!N24))</f>
        <v/>
      </c>
      <c r="N169" s="274" t="str">
        <f>IF(ISERROR(N170/Liab!O24),"",IF(N170/Liab!O24=0,"",N170/Liab!O24))</f>
        <v/>
      </c>
      <c r="O169" s="274" t="str">
        <f>IF(ISERROR(O170/Liab!P24),"",IF(O170/Liab!P24=0,"",O170/Liab!P24))</f>
        <v/>
      </c>
      <c r="P169" s="274" t="str">
        <f>IF(ISERROR(P170/Liab!Q24),"",IF(P170/Liab!Q24=0,"",P170/Liab!Q24))</f>
        <v/>
      </c>
      <c r="Q169" s="274" t="str">
        <f>IF(ISERROR(Q170/Liab!R24),"",IF(Q170/Liab!R24=0,"",Q170/Liab!R24))</f>
        <v/>
      </c>
      <c r="R169" s="274" t="str">
        <f>IF(ISERROR(R170/Liab!S24),"",IF(R170/Liab!S24=0,"",R170/Liab!S24))</f>
        <v/>
      </c>
      <c r="S169" s="274" t="str">
        <f>IF(ISERROR(S170/Liab!T24),"",IF(S170/Liab!T24=0,"",S170/Liab!T24))</f>
        <v/>
      </c>
      <c r="T169" s="274" t="str">
        <f>IF(ISERROR(T170/Liab!U24),"",IF(T170/Liab!U24=0,"",T170/Liab!U24))</f>
        <v/>
      </c>
      <c r="U169" s="274" t="str">
        <f>IF(ISERROR(U170/Liab!V24),"",IF(U170/Liab!V24=0,"",U170/Liab!V24))</f>
        <v/>
      </c>
      <c r="V169" s="612"/>
    </row>
    <row r="170" spans="1:22" x14ac:dyDescent="0.2">
      <c r="A170" s="287" t="s">
        <v>556</v>
      </c>
      <c r="B170" s="317"/>
      <c r="C170" s="317"/>
      <c r="D170" s="317"/>
      <c r="E170" s="317"/>
      <c r="F170" s="317"/>
      <c r="G170" s="317"/>
      <c r="H170" s="317"/>
      <c r="I170" s="317"/>
      <c r="J170" s="317"/>
      <c r="K170" s="317"/>
      <c r="L170" s="317"/>
      <c r="M170" s="317"/>
      <c r="N170" s="317"/>
      <c r="O170" s="317"/>
      <c r="P170" s="317"/>
      <c r="Q170" s="317"/>
      <c r="R170" s="317"/>
      <c r="S170" s="317"/>
      <c r="T170" s="317"/>
      <c r="U170" s="317"/>
      <c r="V170" s="612"/>
    </row>
    <row r="171" spans="1:22" ht="15" customHeight="1" x14ac:dyDescent="0.2">
      <c r="A171" s="630"/>
      <c r="B171" s="610"/>
      <c r="C171" s="610"/>
      <c r="D171" s="610"/>
      <c r="E171" s="610"/>
      <c r="F171" s="610"/>
      <c r="G171" s="610"/>
      <c r="H171" s="610"/>
      <c r="I171" s="610"/>
      <c r="J171" s="610"/>
      <c r="K171" s="610"/>
      <c r="L171" s="610"/>
      <c r="M171" s="610"/>
      <c r="N171" s="610"/>
      <c r="O171" s="610"/>
      <c r="P171" s="610"/>
      <c r="Q171" s="610"/>
      <c r="R171" s="610"/>
      <c r="S171" s="610"/>
      <c r="T171" s="610"/>
      <c r="U171" s="610"/>
      <c r="V171" s="612"/>
    </row>
    <row r="172" spans="1:22" ht="15" customHeight="1" x14ac:dyDescent="0.25">
      <c r="A172" s="620" t="s">
        <v>889</v>
      </c>
      <c r="B172" s="610"/>
      <c r="C172" s="610"/>
      <c r="D172" s="610"/>
      <c r="E172" s="610"/>
      <c r="F172" s="610"/>
      <c r="G172" s="610"/>
      <c r="H172" s="610"/>
      <c r="I172" s="610"/>
      <c r="J172" s="610"/>
      <c r="K172" s="610"/>
      <c r="L172" s="610"/>
      <c r="M172" s="610"/>
      <c r="N172" s="610"/>
      <c r="O172" s="610"/>
      <c r="P172" s="610"/>
      <c r="Q172" s="610"/>
      <c r="R172" s="610"/>
      <c r="S172" s="610"/>
      <c r="T172" s="610"/>
      <c r="U172" s="610"/>
      <c r="V172" s="612"/>
    </row>
    <row r="173" spans="1:22" s="297" customFormat="1" ht="12.75" customHeight="1" x14ac:dyDescent="0.25">
      <c r="A173" s="296"/>
      <c r="B173" s="261">
        <f>B3</f>
        <v>2020</v>
      </c>
      <c r="C173" s="261">
        <f t="shared" ref="C173:O173" si="68">C3</f>
        <v>2021</v>
      </c>
      <c r="D173" s="261">
        <f t="shared" si="68"/>
        <v>2022</v>
      </c>
      <c r="E173" s="261">
        <f t="shared" si="68"/>
        <v>2023</v>
      </c>
      <c r="F173" s="261">
        <f t="shared" si="68"/>
        <v>2024</v>
      </c>
      <c r="G173" s="261">
        <f t="shared" si="68"/>
        <v>2025</v>
      </c>
      <c r="H173" s="261">
        <f t="shared" si="68"/>
        <v>2026</v>
      </c>
      <c r="I173" s="261">
        <f t="shared" si="68"/>
        <v>2027</v>
      </c>
      <c r="J173" s="261">
        <f t="shared" si="68"/>
        <v>2028</v>
      </c>
      <c r="K173" s="261">
        <f t="shared" si="68"/>
        <v>2029</v>
      </c>
      <c r="L173" s="261">
        <f t="shared" si="68"/>
        <v>2030</v>
      </c>
      <c r="M173" s="261">
        <f t="shared" si="68"/>
        <v>2031</v>
      </c>
      <c r="N173" s="261">
        <f t="shared" si="68"/>
        <v>2032</v>
      </c>
      <c r="O173" s="261">
        <f t="shared" si="68"/>
        <v>2033</v>
      </c>
      <c r="P173" s="261">
        <f t="shared" ref="P173:U173" si="69">P3</f>
        <v>2034</v>
      </c>
      <c r="Q173" s="261">
        <f t="shared" si="69"/>
        <v>2035</v>
      </c>
      <c r="R173" s="261">
        <f t="shared" si="69"/>
        <v>2036</v>
      </c>
      <c r="S173" s="261">
        <f t="shared" si="69"/>
        <v>2037</v>
      </c>
      <c r="T173" s="261">
        <f t="shared" si="69"/>
        <v>2038</v>
      </c>
      <c r="U173" s="261">
        <f t="shared" si="69"/>
        <v>2039</v>
      </c>
      <c r="V173" s="613"/>
    </row>
    <row r="174" spans="1:22" s="297" customFormat="1" ht="12.75" customHeight="1" x14ac:dyDescent="0.25">
      <c r="A174" s="296"/>
      <c r="B174" s="261" t="str">
        <f>B4</f>
        <v>AUD.</v>
      </c>
      <c r="C174" s="261" t="str">
        <f t="shared" ref="C174:O174" si="70">C4</f>
        <v>AUD.</v>
      </c>
      <c r="D174" s="261" t="str">
        <f t="shared" si="70"/>
        <v>AUD.</v>
      </c>
      <c r="E174" s="261" t="str">
        <f t="shared" si="70"/>
        <v>EST.</v>
      </c>
      <c r="F174" s="261" t="str">
        <f t="shared" si="70"/>
        <v>PROJ.</v>
      </c>
      <c r="G174" s="261" t="str">
        <f t="shared" si="70"/>
        <v>PROJ.</v>
      </c>
      <c r="H174" s="261" t="str">
        <f t="shared" si="70"/>
        <v>PROJ.</v>
      </c>
      <c r="I174" s="261" t="str">
        <f t="shared" si="70"/>
        <v>PROJ.</v>
      </c>
      <c r="J174" s="261" t="str">
        <f t="shared" si="70"/>
        <v>PROJ.</v>
      </c>
      <c r="K174" s="261" t="str">
        <f t="shared" si="70"/>
        <v>PROJ.</v>
      </c>
      <c r="L174" s="261" t="str">
        <f t="shared" si="70"/>
        <v>PROJ.</v>
      </c>
      <c r="M174" s="261" t="str">
        <f t="shared" si="70"/>
        <v>PROJ.</v>
      </c>
      <c r="N174" s="261" t="str">
        <f t="shared" si="70"/>
        <v>PROJ.</v>
      </c>
      <c r="O174" s="261" t="str">
        <f t="shared" si="70"/>
        <v>PROJ.</v>
      </c>
      <c r="P174" s="261" t="str">
        <f t="shared" ref="P174:U174" si="71">P4</f>
        <v>PROJ.</v>
      </c>
      <c r="Q174" s="261" t="str">
        <f t="shared" si="71"/>
        <v>PROJ.</v>
      </c>
      <c r="R174" s="261" t="str">
        <f t="shared" si="71"/>
        <v>PROJ.</v>
      </c>
      <c r="S174" s="261" t="str">
        <f t="shared" si="71"/>
        <v>PROJ.</v>
      </c>
      <c r="T174" s="261" t="str">
        <f t="shared" si="71"/>
        <v>PROJ.</v>
      </c>
      <c r="U174" s="261" t="str">
        <f t="shared" si="71"/>
        <v>PROJ.</v>
      </c>
      <c r="V174" s="613"/>
    </row>
    <row r="175" spans="1:22" ht="14.25" customHeight="1" x14ac:dyDescent="0.2">
      <c r="A175" s="287" t="s">
        <v>884</v>
      </c>
      <c r="B175" s="256">
        <f>IF(ISERROR('Oper.St.'!C17),"",IF('Oper.St.'!C17=0,"",'Oper.St.'!C17))</f>
        <v>0.8</v>
      </c>
      <c r="C175" s="256">
        <f>IF(ISERROR('Oper.St.'!D17),"",IF('Oper.St.'!D17=0,"",'Oper.St.'!D17))</f>
        <v>1.05</v>
      </c>
      <c r="D175" s="256">
        <f>IF(ISERROR('Oper.St.'!E17),"",IF('Oper.St.'!E17=0,"",'Oper.St.'!E17))</f>
        <v>2.2000000000000002</v>
      </c>
      <c r="E175" s="256">
        <f>IF(ISERROR('Oper.St.'!F17),"",IF('Oper.St.'!F17=0,"",'Oper.St.'!F17))</f>
        <v>4</v>
      </c>
      <c r="F175" s="256">
        <f>IF(ISERROR('Oper.St.'!G17),"",IF('Oper.St.'!G17=0,"",'Oper.St.'!G17))</f>
        <v>20</v>
      </c>
      <c r="G175" s="256">
        <f>IF(ISERROR('Oper.St.'!H17),"",IF('Oper.St.'!H17=0,"",'Oper.St.'!H17))</f>
        <v>34.28</v>
      </c>
      <c r="H175" s="256">
        <f>IF(ISERROR('Oper.St.'!I17),"",IF('Oper.St.'!I17=0,"",'Oper.St.'!I17))</f>
        <v>40.42</v>
      </c>
      <c r="I175" s="256">
        <f>IF(ISERROR('Oper.St.'!J17),"",IF('Oper.St.'!J17=0,"",'Oper.St.'!J17))</f>
        <v>44.09</v>
      </c>
      <c r="J175" s="256">
        <f>IF(ISERROR('Oper.St.'!K17),"",IF('Oper.St.'!K17=0,"",'Oper.St.'!K17))</f>
        <v>47.96</v>
      </c>
      <c r="K175" s="256">
        <f>IF(ISERROR('Oper.St.'!L17),"",IF('Oper.St.'!L17=0,"",'Oper.St.'!L17))</f>
        <v>52.03</v>
      </c>
      <c r="L175" s="256">
        <f>IF(ISERROR('Oper.St.'!M17),"",IF('Oper.St.'!M17=0,"",'Oper.St.'!M17))</f>
        <v>56.2</v>
      </c>
      <c r="M175" s="256" t="str">
        <f>IF(ISERROR('Oper.St.'!N17),"",IF('Oper.St.'!N17=0,"",'Oper.St.'!N17))</f>
        <v/>
      </c>
      <c r="N175" s="256" t="str">
        <f>IF(ISERROR('Oper.St.'!O17),"",IF('Oper.St.'!O17=0,"",'Oper.St.'!O17))</f>
        <v/>
      </c>
      <c r="O175" s="256" t="str">
        <f>IF(ISERROR('Oper.St.'!P17),"",IF('Oper.St.'!P17=0,"",'Oper.St.'!P17))</f>
        <v/>
      </c>
      <c r="P175" s="256" t="str">
        <f>IF(ISERROR('Oper.St.'!Q17),"",IF('Oper.St.'!Q17=0,"",'Oper.St.'!Q17))</f>
        <v/>
      </c>
      <c r="Q175" s="256" t="str">
        <f>IF(ISERROR('Oper.St.'!R17),"",IF('Oper.St.'!R17=0,"",'Oper.St.'!R17))</f>
        <v/>
      </c>
      <c r="R175" s="256" t="str">
        <f>IF(ISERROR('Oper.St.'!S17),"",IF('Oper.St.'!S17=0,"",'Oper.St.'!S17))</f>
        <v/>
      </c>
      <c r="S175" s="256" t="str">
        <f>IF(ISERROR('Oper.St.'!T17),"",IF('Oper.St.'!T17=0,"",'Oper.St.'!T17))</f>
        <v/>
      </c>
      <c r="T175" s="256" t="str">
        <f>IF(ISERROR('Oper.St.'!U17),"",IF('Oper.St.'!U17=0,"",'Oper.St.'!U17))</f>
        <v/>
      </c>
      <c r="U175" s="256" t="str">
        <f>IF(ISERROR('Oper.St.'!V17),"",IF('Oper.St.'!V17=0,"",'Oper.St.'!V17))</f>
        <v/>
      </c>
      <c r="V175" s="612"/>
    </row>
    <row r="176" spans="1:22" ht="14.25" customHeight="1" x14ac:dyDescent="0.2">
      <c r="A176" s="287" t="s">
        <v>887</v>
      </c>
      <c r="B176" s="256">
        <f>IF(ISERROR(B175/4),"",IF(B175/4=0,"",B175/4))</f>
        <v>0.2</v>
      </c>
      <c r="C176" s="256">
        <f t="shared" ref="C176:U176" si="72">IF(ISERROR(C175/4),"",IF(C175/4=0,"",C175/4))</f>
        <v>0.26250000000000001</v>
      </c>
      <c r="D176" s="256">
        <f t="shared" si="72"/>
        <v>0.55000000000000004</v>
      </c>
      <c r="E176" s="256">
        <f t="shared" si="72"/>
        <v>1</v>
      </c>
      <c r="F176" s="256">
        <f t="shared" si="72"/>
        <v>5</v>
      </c>
      <c r="G176" s="256">
        <f t="shared" si="72"/>
        <v>8.57</v>
      </c>
      <c r="H176" s="256">
        <f t="shared" si="72"/>
        <v>10.105</v>
      </c>
      <c r="I176" s="256">
        <f t="shared" si="72"/>
        <v>11.022500000000001</v>
      </c>
      <c r="J176" s="256">
        <f t="shared" si="72"/>
        <v>11.99</v>
      </c>
      <c r="K176" s="256">
        <f t="shared" si="72"/>
        <v>13.0075</v>
      </c>
      <c r="L176" s="256">
        <f t="shared" si="72"/>
        <v>14.05</v>
      </c>
      <c r="M176" s="256" t="str">
        <f t="shared" si="72"/>
        <v/>
      </c>
      <c r="N176" s="256" t="str">
        <f t="shared" si="72"/>
        <v/>
      </c>
      <c r="O176" s="256" t="str">
        <f t="shared" si="72"/>
        <v/>
      </c>
      <c r="P176" s="256" t="str">
        <f t="shared" si="72"/>
        <v/>
      </c>
      <c r="Q176" s="256" t="str">
        <f t="shared" si="72"/>
        <v/>
      </c>
      <c r="R176" s="256" t="str">
        <f t="shared" si="72"/>
        <v/>
      </c>
      <c r="S176" s="256" t="str">
        <f t="shared" si="72"/>
        <v/>
      </c>
      <c r="T176" s="256" t="str">
        <f t="shared" si="72"/>
        <v/>
      </c>
      <c r="U176" s="256" t="str">
        <f t="shared" si="72"/>
        <v/>
      </c>
      <c r="V176" s="612"/>
    </row>
    <row r="177" spans="1:22" ht="14.25" customHeight="1" x14ac:dyDescent="0.2">
      <c r="A177" s="287" t="s">
        <v>888</v>
      </c>
      <c r="B177" s="256">
        <f>IF(ISERROR(B176/5),"",IF(B176/5=0,"",B176/5))</f>
        <v>0.04</v>
      </c>
      <c r="C177" s="256">
        <f t="shared" ref="C177:U177" si="73">IF(ISERROR(C176/5),"",IF(C176/5=0,"",C176/5))</f>
        <v>5.2500000000000005E-2</v>
      </c>
      <c r="D177" s="256">
        <f t="shared" si="73"/>
        <v>0.11000000000000001</v>
      </c>
      <c r="E177" s="256">
        <f t="shared" si="73"/>
        <v>0.2</v>
      </c>
      <c r="F177" s="256">
        <f t="shared" si="73"/>
        <v>1</v>
      </c>
      <c r="G177" s="256">
        <f t="shared" si="73"/>
        <v>1.714</v>
      </c>
      <c r="H177" s="256">
        <f t="shared" si="73"/>
        <v>2.0209999999999999</v>
      </c>
      <c r="I177" s="256">
        <f t="shared" si="73"/>
        <v>2.2045000000000003</v>
      </c>
      <c r="J177" s="256">
        <f t="shared" si="73"/>
        <v>2.3980000000000001</v>
      </c>
      <c r="K177" s="256">
        <f t="shared" si="73"/>
        <v>2.6015000000000001</v>
      </c>
      <c r="L177" s="256">
        <f t="shared" si="73"/>
        <v>2.81</v>
      </c>
      <c r="M177" s="256" t="str">
        <f t="shared" si="73"/>
        <v/>
      </c>
      <c r="N177" s="256" t="str">
        <f t="shared" si="73"/>
        <v/>
      </c>
      <c r="O177" s="256" t="str">
        <f t="shared" si="73"/>
        <v/>
      </c>
      <c r="P177" s="256" t="str">
        <f t="shared" si="73"/>
        <v/>
      </c>
      <c r="Q177" s="256" t="str">
        <f t="shared" si="73"/>
        <v/>
      </c>
      <c r="R177" s="256" t="str">
        <f t="shared" si="73"/>
        <v/>
      </c>
      <c r="S177" s="256" t="str">
        <f t="shared" si="73"/>
        <v/>
      </c>
      <c r="T177" s="256" t="str">
        <f t="shared" si="73"/>
        <v/>
      </c>
      <c r="U177" s="256" t="str">
        <f t="shared" si="73"/>
        <v/>
      </c>
      <c r="V177" s="612"/>
    </row>
    <row r="178" spans="1:22" ht="14.25" customHeight="1" x14ac:dyDescent="0.2">
      <c r="A178" s="287" t="s">
        <v>928</v>
      </c>
      <c r="B178" s="256">
        <f>IF(ISERROR(B176-B177),"",IF(B176-B177=0,"",B176-B177))</f>
        <v>0.16</v>
      </c>
      <c r="C178" s="256">
        <f t="shared" ref="C178:U178" si="74">IF(ISERROR(C176-C177),"",IF(C176-C177=0,"",C176-C177))</f>
        <v>0.21000000000000002</v>
      </c>
      <c r="D178" s="256">
        <f t="shared" si="74"/>
        <v>0.44000000000000006</v>
      </c>
      <c r="E178" s="256">
        <f t="shared" si="74"/>
        <v>0.8</v>
      </c>
      <c r="F178" s="256">
        <f t="shared" si="74"/>
        <v>4</v>
      </c>
      <c r="G178" s="256">
        <f t="shared" si="74"/>
        <v>6.8559999999999999</v>
      </c>
      <c r="H178" s="256">
        <f t="shared" si="74"/>
        <v>8.0839999999999996</v>
      </c>
      <c r="I178" s="256">
        <f t="shared" si="74"/>
        <v>8.8180000000000014</v>
      </c>
      <c r="J178" s="256">
        <f t="shared" si="74"/>
        <v>9.5920000000000005</v>
      </c>
      <c r="K178" s="256">
        <f t="shared" si="74"/>
        <v>10.406000000000001</v>
      </c>
      <c r="L178" s="256">
        <f t="shared" si="74"/>
        <v>11.24</v>
      </c>
      <c r="M178" s="256" t="str">
        <f t="shared" si="74"/>
        <v/>
      </c>
      <c r="N178" s="256" t="str">
        <f t="shared" si="74"/>
        <v/>
      </c>
      <c r="O178" s="256" t="str">
        <f t="shared" si="74"/>
        <v/>
      </c>
      <c r="P178" s="256" t="str">
        <f t="shared" si="74"/>
        <v/>
      </c>
      <c r="Q178" s="256" t="str">
        <f t="shared" si="74"/>
        <v/>
      </c>
      <c r="R178" s="256" t="str">
        <f t="shared" si="74"/>
        <v/>
      </c>
      <c r="S178" s="256" t="str">
        <f t="shared" si="74"/>
        <v/>
      </c>
      <c r="T178" s="256" t="str">
        <f t="shared" si="74"/>
        <v/>
      </c>
      <c r="U178" s="256" t="str">
        <f t="shared" si="74"/>
        <v/>
      </c>
      <c r="V178" s="612"/>
    </row>
    <row r="179" spans="1:22" ht="14.25" customHeight="1" x14ac:dyDescent="0.2">
      <c r="A179" s="287" t="s">
        <v>886</v>
      </c>
      <c r="B179" s="317"/>
      <c r="C179" s="317"/>
      <c r="D179" s="317"/>
      <c r="E179" s="317"/>
      <c r="F179" s="317"/>
      <c r="G179" s="317"/>
      <c r="H179" s="317"/>
      <c r="I179" s="317"/>
      <c r="J179" s="317"/>
      <c r="K179" s="317"/>
      <c r="L179" s="317"/>
      <c r="M179" s="317"/>
      <c r="N179" s="317"/>
      <c r="O179" s="317"/>
      <c r="P179" s="317"/>
      <c r="Q179" s="317"/>
      <c r="R179" s="317"/>
      <c r="S179" s="317"/>
      <c r="T179" s="317"/>
      <c r="U179" s="317"/>
      <c r="V179" s="612"/>
    </row>
    <row r="180" spans="1:22" ht="15.75" customHeight="1" x14ac:dyDescent="0.25">
      <c r="A180" s="620" t="s">
        <v>929</v>
      </c>
      <c r="B180" s="610"/>
      <c r="C180" s="610"/>
      <c r="D180" s="610" t="s">
        <v>926</v>
      </c>
      <c r="E180" s="406">
        <v>0</v>
      </c>
      <c r="F180" s="610"/>
      <c r="G180" s="610"/>
      <c r="H180" s="610"/>
      <c r="I180" s="610"/>
      <c r="J180" s="610"/>
      <c r="K180" s="610"/>
      <c r="L180" s="610"/>
      <c r="M180" s="610"/>
      <c r="N180" s="610"/>
      <c r="O180" s="610"/>
      <c r="P180" s="610"/>
      <c r="Q180" s="610"/>
      <c r="R180" s="610"/>
      <c r="S180" s="610"/>
      <c r="T180" s="610"/>
      <c r="U180" s="610"/>
      <c r="V180" s="612"/>
    </row>
    <row r="181" spans="1:22" s="297" customFormat="1" ht="12.75" customHeight="1" x14ac:dyDescent="0.25">
      <c r="A181" s="296"/>
      <c r="B181" s="261">
        <f>B3</f>
        <v>2020</v>
      </c>
      <c r="C181" s="261">
        <f t="shared" ref="C181:O181" si="75">C3</f>
        <v>2021</v>
      </c>
      <c r="D181" s="261">
        <f t="shared" si="75"/>
        <v>2022</v>
      </c>
      <c r="E181" s="261">
        <f t="shared" si="75"/>
        <v>2023</v>
      </c>
      <c r="F181" s="261">
        <f t="shared" si="75"/>
        <v>2024</v>
      </c>
      <c r="G181" s="261">
        <f t="shared" si="75"/>
        <v>2025</v>
      </c>
      <c r="H181" s="261">
        <f t="shared" si="75"/>
        <v>2026</v>
      </c>
      <c r="I181" s="261">
        <f t="shared" si="75"/>
        <v>2027</v>
      </c>
      <c r="J181" s="261">
        <f t="shared" si="75"/>
        <v>2028</v>
      </c>
      <c r="K181" s="261">
        <f t="shared" si="75"/>
        <v>2029</v>
      </c>
      <c r="L181" s="261">
        <f t="shared" si="75"/>
        <v>2030</v>
      </c>
      <c r="M181" s="261">
        <f t="shared" si="75"/>
        <v>2031</v>
      </c>
      <c r="N181" s="261">
        <f t="shared" si="75"/>
        <v>2032</v>
      </c>
      <c r="O181" s="261">
        <f t="shared" si="75"/>
        <v>2033</v>
      </c>
      <c r="P181" s="261">
        <f t="shared" ref="P181:U181" si="76">P3</f>
        <v>2034</v>
      </c>
      <c r="Q181" s="261">
        <f t="shared" si="76"/>
        <v>2035</v>
      </c>
      <c r="R181" s="261">
        <f t="shared" si="76"/>
        <v>2036</v>
      </c>
      <c r="S181" s="261">
        <f t="shared" si="76"/>
        <v>2037</v>
      </c>
      <c r="T181" s="261">
        <f t="shared" si="76"/>
        <v>2038</v>
      </c>
      <c r="U181" s="261">
        <f t="shared" si="76"/>
        <v>2039</v>
      </c>
      <c r="V181" s="613"/>
    </row>
    <row r="182" spans="1:22" s="297" customFormat="1" ht="12.75" customHeight="1" x14ac:dyDescent="0.25">
      <c r="A182" s="296"/>
      <c r="B182" s="261" t="str">
        <f>B4</f>
        <v>AUD.</v>
      </c>
      <c r="C182" s="261" t="str">
        <f t="shared" ref="C182:O182" si="77">C4</f>
        <v>AUD.</v>
      </c>
      <c r="D182" s="261" t="str">
        <f t="shared" si="77"/>
        <v>AUD.</v>
      </c>
      <c r="E182" s="261" t="str">
        <f t="shared" si="77"/>
        <v>EST.</v>
      </c>
      <c r="F182" s="261" t="str">
        <f t="shared" si="77"/>
        <v>PROJ.</v>
      </c>
      <c r="G182" s="261" t="str">
        <f t="shared" si="77"/>
        <v>PROJ.</v>
      </c>
      <c r="H182" s="261" t="str">
        <f t="shared" si="77"/>
        <v>PROJ.</v>
      </c>
      <c r="I182" s="261" t="str">
        <f t="shared" si="77"/>
        <v>PROJ.</v>
      </c>
      <c r="J182" s="261" t="str">
        <f t="shared" si="77"/>
        <v>PROJ.</v>
      </c>
      <c r="K182" s="261" t="str">
        <f t="shared" si="77"/>
        <v>PROJ.</v>
      </c>
      <c r="L182" s="261" t="str">
        <f t="shared" si="77"/>
        <v>PROJ.</v>
      </c>
      <c r="M182" s="261" t="str">
        <f t="shared" si="77"/>
        <v>PROJ.</v>
      </c>
      <c r="N182" s="261" t="str">
        <f t="shared" si="77"/>
        <v>PROJ.</v>
      </c>
      <c r="O182" s="261" t="str">
        <f t="shared" si="77"/>
        <v>PROJ.</v>
      </c>
      <c r="P182" s="261" t="str">
        <f t="shared" ref="P182:U182" si="78">P4</f>
        <v>PROJ.</v>
      </c>
      <c r="Q182" s="261" t="str">
        <f t="shared" si="78"/>
        <v>PROJ.</v>
      </c>
      <c r="R182" s="261" t="str">
        <f t="shared" si="78"/>
        <v>PROJ.</v>
      </c>
      <c r="S182" s="261" t="str">
        <f t="shared" si="78"/>
        <v>PROJ.</v>
      </c>
      <c r="T182" s="261" t="str">
        <f t="shared" si="78"/>
        <v>PROJ.</v>
      </c>
      <c r="U182" s="261" t="str">
        <f t="shared" si="78"/>
        <v>PROJ.</v>
      </c>
      <c r="V182" s="613"/>
    </row>
    <row r="183" spans="1:22" ht="14.25" customHeight="1" x14ac:dyDescent="0.2">
      <c r="A183" s="287" t="s">
        <v>884</v>
      </c>
      <c r="B183" s="256">
        <f>B175</f>
        <v>0.8</v>
      </c>
      <c r="C183" s="256">
        <f t="shared" ref="C183:U183" si="79">C175</f>
        <v>1.05</v>
      </c>
      <c r="D183" s="256">
        <f t="shared" si="79"/>
        <v>2.2000000000000002</v>
      </c>
      <c r="E183" s="256">
        <f t="shared" si="79"/>
        <v>4</v>
      </c>
      <c r="F183" s="256">
        <f t="shared" si="79"/>
        <v>20</v>
      </c>
      <c r="G183" s="256">
        <f t="shared" si="79"/>
        <v>34.28</v>
      </c>
      <c r="H183" s="256">
        <f t="shared" si="79"/>
        <v>40.42</v>
      </c>
      <c r="I183" s="256">
        <f t="shared" si="79"/>
        <v>44.09</v>
      </c>
      <c r="J183" s="256">
        <f t="shared" si="79"/>
        <v>47.96</v>
      </c>
      <c r="K183" s="256">
        <f t="shared" si="79"/>
        <v>52.03</v>
      </c>
      <c r="L183" s="256">
        <f t="shared" si="79"/>
        <v>56.2</v>
      </c>
      <c r="M183" s="256" t="str">
        <f t="shared" si="79"/>
        <v/>
      </c>
      <c r="N183" s="256" t="str">
        <f t="shared" si="79"/>
        <v/>
      </c>
      <c r="O183" s="256" t="str">
        <f t="shared" si="79"/>
        <v/>
      </c>
      <c r="P183" s="256" t="str">
        <f t="shared" si="79"/>
        <v/>
      </c>
      <c r="Q183" s="256" t="str">
        <f t="shared" si="79"/>
        <v/>
      </c>
      <c r="R183" s="256" t="str">
        <f t="shared" si="79"/>
        <v/>
      </c>
      <c r="S183" s="256" t="str">
        <f t="shared" si="79"/>
        <v/>
      </c>
      <c r="T183" s="256" t="str">
        <f t="shared" si="79"/>
        <v/>
      </c>
      <c r="U183" s="256" t="str">
        <f t="shared" si="79"/>
        <v/>
      </c>
      <c r="V183" s="612"/>
    </row>
    <row r="184" spans="1:22" ht="14.25" customHeight="1" x14ac:dyDescent="0.2">
      <c r="A184" s="287" t="s">
        <v>925</v>
      </c>
      <c r="B184" s="256">
        <f>IF(ISERROR(Asset!C19),"",IF(Asset!C19=0,"",Asset!C19))</f>
        <v>0.01</v>
      </c>
      <c r="C184" s="256">
        <f>IF(ISERROR(Asset!D19),"",IF(Asset!D19=0,"",Asset!D19))</f>
        <v>0.1</v>
      </c>
      <c r="D184" s="256">
        <f>IF(ISERROR(Asset!E19),"",IF(Asset!E19=0,"",Asset!E19))</f>
        <v>0.28999999999999998</v>
      </c>
      <c r="E184" s="256">
        <f>IF(ISERROR(Asset!F19),"",IF(Asset!F19=0,"",Asset!F19))</f>
        <v>0.6</v>
      </c>
      <c r="F184" s="256">
        <f>IF(ISERROR(Asset!G19),"",IF(Asset!G19=0,"",Asset!G19))</f>
        <v>2.5</v>
      </c>
      <c r="G184" s="256">
        <f>IF(ISERROR(Asset!H19),"",IF(Asset!H19=0,"",Asset!H19))</f>
        <v>4.71</v>
      </c>
      <c r="H184" s="256">
        <f>IF(ISERROR(Asset!I19),"",IF(Asset!I19=0,"",Asset!I19))</f>
        <v>5.57</v>
      </c>
      <c r="I184" s="256">
        <f>IF(ISERROR(Asset!J19),"",IF(Asset!J19=0,"",Asset!J19))</f>
        <v>6</v>
      </c>
      <c r="J184" s="256">
        <f>IF(ISERROR(Asset!K19),"",IF(Asset!K19=0,"",Asset!K19))</f>
        <v>6.43</v>
      </c>
      <c r="K184" s="256">
        <f>IF(ISERROR(Asset!L19),"",IF(Asset!L19=0,"",Asset!L19))</f>
        <v>6.86</v>
      </c>
      <c r="L184" s="256">
        <f>IF(ISERROR(Asset!M19),"",IF(Asset!M19=0,"",Asset!M19))</f>
        <v>7.28</v>
      </c>
      <c r="M184" s="256" t="str">
        <f>IF(ISERROR(Asset!N19),"",IF(Asset!N19=0,"",Asset!N19))</f>
        <v/>
      </c>
      <c r="N184" s="256" t="str">
        <f>IF(ISERROR(Asset!O19),"",IF(Asset!O19=0,"",Asset!O19))</f>
        <v/>
      </c>
      <c r="O184" s="256" t="str">
        <f>IF(ISERROR(Asset!P19),"",IF(Asset!P19=0,"",Asset!P19))</f>
        <v/>
      </c>
      <c r="P184" s="256" t="str">
        <f>IF(ISERROR(Asset!Q19),"",IF(Asset!Q19=0,"",Asset!Q19))</f>
        <v/>
      </c>
      <c r="Q184" s="256" t="str">
        <f>IF(ISERROR(Asset!R19),"",IF(Asset!R19=0,"",Asset!R19))</f>
        <v/>
      </c>
      <c r="R184" s="256" t="str">
        <f>IF(ISERROR(Asset!S19),"",IF(Asset!S19=0,"",Asset!S19))</f>
        <v/>
      </c>
      <c r="S184" s="256" t="str">
        <f>IF(ISERROR(Asset!T19),"",IF(Asset!T19=0,"",Asset!T19))</f>
        <v/>
      </c>
      <c r="T184" s="256" t="str">
        <f>IF(ISERROR(Asset!U19),"",IF(Asset!U19=0,"",Asset!U19))</f>
        <v/>
      </c>
      <c r="U184" s="256" t="str">
        <f>IF(ISERROR(Asset!V19),"",IF(Asset!V19=0,"",Asset!V19))</f>
        <v/>
      </c>
      <c r="V184" s="612"/>
    </row>
    <row r="185" spans="1:22" ht="14.25" customHeight="1" x14ac:dyDescent="0.2">
      <c r="A185" s="287" t="str">
        <f>IF(E180="","",CONCATENATE("Margin @", E180,"%",))</f>
        <v>Margin @0%</v>
      </c>
      <c r="B185" s="256" t="str">
        <f>IF(ISERROR(B184*$E$180/100),"",IF(B184*$E$180/100=0,"",B184*$E$180/100))</f>
        <v/>
      </c>
      <c r="C185" s="256" t="str">
        <f t="shared" ref="C185:U185" si="80">IF(ISERROR(C184*$E$180/100),"",IF(C184*$E$180/100=0,"",C184*$E$180/100))</f>
        <v/>
      </c>
      <c r="D185" s="256" t="str">
        <f t="shared" si="80"/>
        <v/>
      </c>
      <c r="E185" s="256" t="str">
        <f t="shared" si="80"/>
        <v/>
      </c>
      <c r="F185" s="256" t="str">
        <f t="shared" si="80"/>
        <v/>
      </c>
      <c r="G185" s="256" t="str">
        <f t="shared" si="80"/>
        <v/>
      </c>
      <c r="H185" s="256" t="str">
        <f t="shared" si="80"/>
        <v/>
      </c>
      <c r="I185" s="256" t="str">
        <f t="shared" si="80"/>
        <v/>
      </c>
      <c r="J185" s="256" t="str">
        <f t="shared" si="80"/>
        <v/>
      </c>
      <c r="K185" s="256" t="str">
        <f t="shared" si="80"/>
        <v/>
      </c>
      <c r="L185" s="256" t="str">
        <f t="shared" si="80"/>
        <v/>
      </c>
      <c r="M185" s="256" t="str">
        <f t="shared" si="80"/>
        <v/>
      </c>
      <c r="N185" s="256" t="str">
        <f t="shared" si="80"/>
        <v/>
      </c>
      <c r="O185" s="256" t="str">
        <f t="shared" si="80"/>
        <v/>
      </c>
      <c r="P185" s="256" t="str">
        <f t="shared" si="80"/>
        <v/>
      </c>
      <c r="Q185" s="256" t="str">
        <f t="shared" si="80"/>
        <v/>
      </c>
      <c r="R185" s="256" t="str">
        <f t="shared" si="80"/>
        <v/>
      </c>
      <c r="S185" s="256" t="str">
        <f t="shared" si="80"/>
        <v/>
      </c>
      <c r="T185" s="256" t="str">
        <f t="shared" si="80"/>
        <v/>
      </c>
      <c r="U185" s="256" t="str">
        <f t="shared" si="80"/>
        <v/>
      </c>
      <c r="V185" s="612"/>
    </row>
    <row r="186" spans="1:22" ht="14.25" customHeight="1" x14ac:dyDescent="0.2">
      <c r="A186" s="287" t="s">
        <v>927</v>
      </c>
      <c r="B186" s="256" t="str">
        <f>IF(ISERROR(B184-B185),"",IF(B184-B185=0,"",B184-B185))</f>
        <v/>
      </c>
      <c r="C186" s="256" t="str">
        <f t="shared" ref="C186:U186" si="81">IF(ISERROR(C184-C185),"",IF(C184-C185=0,"",C184-C185))</f>
        <v/>
      </c>
      <c r="D186" s="256" t="str">
        <f t="shared" si="81"/>
        <v/>
      </c>
      <c r="E186" s="256" t="str">
        <f t="shared" si="81"/>
        <v/>
      </c>
      <c r="F186" s="256" t="str">
        <f t="shared" si="81"/>
        <v/>
      </c>
      <c r="G186" s="256" t="str">
        <f t="shared" si="81"/>
        <v/>
      </c>
      <c r="H186" s="256" t="str">
        <f t="shared" si="81"/>
        <v/>
      </c>
      <c r="I186" s="256" t="str">
        <f t="shared" si="81"/>
        <v/>
      </c>
      <c r="J186" s="256" t="str">
        <f t="shared" si="81"/>
        <v/>
      </c>
      <c r="K186" s="256" t="str">
        <f t="shared" si="81"/>
        <v/>
      </c>
      <c r="L186" s="256" t="str">
        <f t="shared" si="81"/>
        <v/>
      </c>
      <c r="M186" s="256" t="str">
        <f t="shared" si="81"/>
        <v/>
      </c>
      <c r="N186" s="256" t="str">
        <f t="shared" si="81"/>
        <v/>
      </c>
      <c r="O186" s="256" t="str">
        <f t="shared" si="81"/>
        <v/>
      </c>
      <c r="P186" s="256" t="str">
        <f t="shared" si="81"/>
        <v/>
      </c>
      <c r="Q186" s="256" t="str">
        <f t="shared" si="81"/>
        <v/>
      </c>
      <c r="R186" s="256" t="str">
        <f t="shared" si="81"/>
        <v/>
      </c>
      <c r="S186" s="256" t="str">
        <f t="shared" si="81"/>
        <v/>
      </c>
      <c r="T186" s="256" t="str">
        <f t="shared" si="81"/>
        <v/>
      </c>
      <c r="U186" s="256" t="str">
        <f t="shared" si="81"/>
        <v/>
      </c>
      <c r="V186" s="612"/>
    </row>
    <row r="187" spans="1:22" ht="14.25" customHeight="1" x14ac:dyDescent="0.2">
      <c r="A187" s="287" t="s">
        <v>886</v>
      </c>
      <c r="B187" s="317"/>
      <c r="C187" s="317"/>
      <c r="D187" s="317"/>
      <c r="E187" s="317"/>
      <c r="F187" s="317"/>
      <c r="G187" s="317"/>
      <c r="H187" s="317"/>
      <c r="I187" s="317"/>
      <c r="J187" s="317"/>
      <c r="K187" s="317"/>
      <c r="L187" s="317"/>
      <c r="M187" s="317"/>
      <c r="N187" s="317"/>
      <c r="O187" s="317"/>
      <c r="P187" s="317"/>
      <c r="Q187" s="317"/>
      <c r="R187" s="317"/>
      <c r="S187" s="317"/>
      <c r="T187" s="317"/>
      <c r="U187" s="317"/>
      <c r="V187" s="612"/>
    </row>
    <row r="188" spans="1:22" ht="15" customHeight="1" x14ac:dyDescent="0.25">
      <c r="A188" s="620" t="s">
        <v>467</v>
      </c>
      <c r="B188" s="610"/>
      <c r="C188" s="610"/>
      <c r="D188" s="610"/>
      <c r="E188" s="610"/>
      <c r="F188" s="610"/>
      <c r="G188" s="610"/>
      <c r="H188" s="610"/>
      <c r="I188" s="610"/>
      <c r="J188" s="610"/>
      <c r="K188" s="610"/>
      <c r="L188" s="610"/>
      <c r="M188" s="610"/>
      <c r="N188" s="610"/>
      <c r="O188" s="610"/>
      <c r="P188" s="610"/>
      <c r="Q188" s="610"/>
      <c r="R188" s="610"/>
      <c r="S188" s="610"/>
      <c r="T188" s="610"/>
      <c r="U188" s="610"/>
      <c r="V188" s="612"/>
    </row>
    <row r="189" spans="1:22" s="297" customFormat="1" ht="12.75" customHeight="1" x14ac:dyDescent="0.25">
      <c r="A189" s="296"/>
      <c r="B189" s="261">
        <f>B3</f>
        <v>2020</v>
      </c>
      <c r="C189" s="261">
        <f t="shared" ref="C189:O189" si="82">C3</f>
        <v>2021</v>
      </c>
      <c r="D189" s="261">
        <f t="shared" si="82"/>
        <v>2022</v>
      </c>
      <c r="E189" s="261">
        <f t="shared" si="82"/>
        <v>2023</v>
      </c>
      <c r="F189" s="261">
        <f t="shared" si="82"/>
        <v>2024</v>
      </c>
      <c r="G189" s="261">
        <f t="shared" si="82"/>
        <v>2025</v>
      </c>
      <c r="H189" s="261">
        <f t="shared" si="82"/>
        <v>2026</v>
      </c>
      <c r="I189" s="261">
        <f t="shared" si="82"/>
        <v>2027</v>
      </c>
      <c r="J189" s="261">
        <f t="shared" si="82"/>
        <v>2028</v>
      </c>
      <c r="K189" s="261">
        <f t="shared" si="82"/>
        <v>2029</v>
      </c>
      <c r="L189" s="261">
        <f t="shared" si="82"/>
        <v>2030</v>
      </c>
      <c r="M189" s="261">
        <f t="shared" si="82"/>
        <v>2031</v>
      </c>
      <c r="N189" s="261">
        <f t="shared" si="82"/>
        <v>2032</v>
      </c>
      <c r="O189" s="261">
        <f t="shared" si="82"/>
        <v>2033</v>
      </c>
      <c r="P189" s="261">
        <f t="shared" ref="P189:U189" si="83">P3</f>
        <v>2034</v>
      </c>
      <c r="Q189" s="261">
        <f t="shared" si="83"/>
        <v>2035</v>
      </c>
      <c r="R189" s="261">
        <f t="shared" si="83"/>
        <v>2036</v>
      </c>
      <c r="S189" s="261">
        <f t="shared" si="83"/>
        <v>2037</v>
      </c>
      <c r="T189" s="261">
        <f t="shared" si="83"/>
        <v>2038</v>
      </c>
      <c r="U189" s="261">
        <f t="shared" si="83"/>
        <v>2039</v>
      </c>
      <c r="V189" s="613"/>
    </row>
    <row r="190" spans="1:22" s="297" customFormat="1" ht="12.75" customHeight="1" x14ac:dyDescent="0.25">
      <c r="A190" s="296"/>
      <c r="B190" s="261" t="str">
        <f>B159</f>
        <v>AUD.</v>
      </c>
      <c r="C190" s="261" t="str">
        <f t="shared" ref="C190:O190" si="84">C159</f>
        <v>AUD.</v>
      </c>
      <c r="D190" s="261" t="str">
        <f t="shared" si="84"/>
        <v>AUD.</v>
      </c>
      <c r="E190" s="261" t="str">
        <f t="shared" si="84"/>
        <v>EST.</v>
      </c>
      <c r="F190" s="261" t="str">
        <f t="shared" si="84"/>
        <v>PROJ.</v>
      </c>
      <c r="G190" s="261" t="str">
        <f t="shared" si="84"/>
        <v>PROJ.</v>
      </c>
      <c r="H190" s="261" t="str">
        <f t="shared" si="84"/>
        <v>PROJ.</v>
      </c>
      <c r="I190" s="261" t="str">
        <f t="shared" si="84"/>
        <v>PROJ.</v>
      </c>
      <c r="J190" s="261" t="str">
        <f t="shared" si="84"/>
        <v>PROJ.</v>
      </c>
      <c r="K190" s="261" t="str">
        <f t="shared" si="84"/>
        <v>PROJ.</v>
      </c>
      <c r="L190" s="261" t="str">
        <f t="shared" si="84"/>
        <v>PROJ.</v>
      </c>
      <c r="M190" s="261" t="str">
        <f t="shared" si="84"/>
        <v>PROJ.</v>
      </c>
      <c r="N190" s="261" t="str">
        <f t="shared" si="84"/>
        <v>PROJ.</v>
      </c>
      <c r="O190" s="261" t="str">
        <f t="shared" si="84"/>
        <v>PROJ.</v>
      </c>
      <c r="P190" s="261" t="str">
        <f t="shared" ref="P190:U190" si="85">P159</f>
        <v>PROJ.</v>
      </c>
      <c r="Q190" s="261" t="str">
        <f t="shared" si="85"/>
        <v>PROJ.</v>
      </c>
      <c r="R190" s="261" t="str">
        <f t="shared" si="85"/>
        <v>PROJ.</v>
      </c>
      <c r="S190" s="261" t="str">
        <f t="shared" si="85"/>
        <v>PROJ.</v>
      </c>
      <c r="T190" s="261" t="str">
        <f t="shared" si="85"/>
        <v>PROJ.</v>
      </c>
      <c r="U190" s="261" t="str">
        <f t="shared" si="85"/>
        <v>PROJ.</v>
      </c>
      <c r="V190" s="613"/>
    </row>
    <row r="191" spans="1:22" x14ac:dyDescent="0.2">
      <c r="A191" s="287" t="s">
        <v>430</v>
      </c>
      <c r="B191" s="256">
        <f>IF(ISERROR(B7/(Asset!C93-Asset!C89)),"",IF(B7/(Asset!C93-Asset!C89)=0,"",B7/(Asset!C93-Asset!C89)))</f>
        <v>2.8571428571428572</v>
      </c>
      <c r="C191" s="256">
        <f>IF(ISERROR(C7/(Asset!D93-Asset!D89)),"",IF(C7/(Asset!D93-Asset!D89)=0,"",C7/(Asset!D93-Asset!D89)))</f>
        <v>2.3863636363636362</v>
      </c>
      <c r="D191" s="256">
        <f>IF(ISERROR(D7/(Asset!E93-Asset!E89)),"",IF(D7/(Asset!E93-Asset!E89)=0,"",D7/(Asset!E93-Asset!E89)))</f>
        <v>0.45360824742268047</v>
      </c>
      <c r="E191" s="256">
        <f>IF(ISERROR(E7/(Asset!F93-Asset!F89)),"",IF(E7/(Asset!F93-Asset!F89)=0,"",E7/(Asset!F93-Asset!F89)))</f>
        <v>0.26367831245880025</v>
      </c>
      <c r="F191" s="256">
        <f>IF(ISERROR(F7/(Asset!G93-Asset!G89)),"",IF(F7/(Asset!G93-Asset!G89)=0,"",F7/(Asset!G93-Asset!G89)))</f>
        <v>0.7482229704451927</v>
      </c>
      <c r="G191" s="256">
        <f>IF(ISERROR(G7/(Asset!H93-Asset!H89)),"",IF(G7/(Asset!H93-Asset!H89)=0,"",G7/(Asset!H93-Asset!H89)))</f>
        <v>1.2495027720267293</v>
      </c>
      <c r="H191" s="256">
        <f>IF(ISERROR(H7/(Asset!I93-Asset!I89)),"",IF(H7/(Asset!I93-Asset!I89)=0,"",H7/(Asset!I93-Asset!I89)))</f>
        <v>1.4527499155085932</v>
      </c>
      <c r="I191" s="256">
        <f>IF(ISERROR(I7/(Asset!J93-Asset!J89)),"",IF(I7/(Asset!J93-Asset!J89)=0,"",I7/(Asset!J93-Asset!J89)))</f>
        <v>1.6076247025290962</v>
      </c>
      <c r="J191" s="256">
        <f>IF(ISERROR(J7/(Asset!K93-Asset!K89)),"",IF(J7/(Asset!K93-Asset!K89)=0,"",J7/(Asset!K93-Asset!K89)))</f>
        <v>1.7682276687876382</v>
      </c>
      <c r="K191" s="256">
        <f>IF(ISERROR(K7/(Asset!L93-Asset!L89)),"",IF(K7/(Asset!L93-Asset!L89)=0,"",K7/(Asset!L93-Asset!L89)))</f>
        <v>1.9426459272505607</v>
      </c>
      <c r="L191" s="256">
        <f>IF(ISERROR(L7/(Asset!M93-Asset!M89)),"",IF(L7/(Asset!M93-Asset!M89)=0,"",L7/(Asset!M93-Asset!M89)))</f>
        <v>2.1418166294601848</v>
      </c>
      <c r="M191" s="256" t="str">
        <f>IF(ISERROR(M7/(Asset!N93-Asset!N89)),"",IF(M7/(Asset!N93-Asset!N89)=0,"",M7/(Asset!N93-Asset!N89)))</f>
        <v/>
      </c>
      <c r="N191" s="256" t="str">
        <f>IF(ISERROR(N7/(Asset!O93-Asset!O89)),"",IF(N7/(Asset!O93-Asset!O89)=0,"",N7/(Asset!O93-Asset!O89)))</f>
        <v/>
      </c>
      <c r="O191" s="256" t="str">
        <f>IF(ISERROR(O7/(Asset!P93-Asset!P89)),"",IF(O7/(Asset!P93-Asset!P89)=0,"",O7/(Asset!P93-Asset!P89)))</f>
        <v/>
      </c>
      <c r="P191" s="256" t="str">
        <f>IF(ISERROR(P7/(Asset!Q93-Asset!Q89)),"",IF(P7/(Asset!Q93-Asset!Q89)=0,"",P7/(Asset!Q93-Asset!Q89)))</f>
        <v/>
      </c>
      <c r="Q191" s="256" t="str">
        <f>IF(ISERROR(Q7/(Asset!R93-Asset!R89)),"",IF(Q7/(Asset!R93-Asset!R89)=0,"",Q7/(Asset!R93-Asset!R89)))</f>
        <v/>
      </c>
      <c r="R191" s="256" t="str">
        <f>IF(ISERROR(R7/(Asset!S93-Asset!S89)),"",IF(R7/(Asset!S93-Asset!S89)=0,"",R7/(Asset!S93-Asset!S89)))</f>
        <v/>
      </c>
      <c r="S191" s="256" t="str">
        <f>IF(ISERROR(S7/(Asset!T93-Asset!T89)),"",IF(S7/(Asset!T93-Asset!T89)=0,"",S7/(Asset!T93-Asset!T89)))</f>
        <v/>
      </c>
      <c r="T191" s="256" t="str">
        <f>IF(ISERROR(T7/(Asset!U93-Asset!U89)),"",IF(T7/(Asset!U93-Asset!U89)=0,"",T7/(Asset!U93-Asset!U89)))</f>
        <v/>
      </c>
      <c r="U191" s="256" t="str">
        <f>IF(ISERROR(U7/(Asset!V93-Asset!V89)),"",IF(U7/(Asset!V93-Asset!V89)=0,"",U7/(Asset!V93-Asset!V89)))</f>
        <v/>
      </c>
      <c r="V191" s="612"/>
    </row>
    <row r="192" spans="1:22" s="303" customFormat="1" x14ac:dyDescent="0.2">
      <c r="A192" s="318" t="s">
        <v>427</v>
      </c>
      <c r="B192" s="271">
        <f>IF(ISERROR(B29/(Asset!C93-Asset!C89)),"",IF(B29/(Asset!C93-Asset!C89)=0,"",B29/(Asset!C93-Asset!C89)))</f>
        <v>0.35714285714285704</v>
      </c>
      <c r="C192" s="271">
        <f>IF(ISERROR(C29/(Asset!D93-Asset!D89)),"",IF(C29/(Asset!D93-Asset!D89)=0,"",C29/(Asset!D93-Asset!D89)))</f>
        <v>0.29545454545454541</v>
      </c>
      <c r="D192" s="271">
        <f>IF(ISERROR(D29/(Asset!E93-Asset!E89)),"",IF(D29/(Asset!E93-Asset!E89)=0,"",D29/(Asset!E93-Asset!E89)))</f>
        <v>7.8350515463917567E-2</v>
      </c>
      <c r="E192" s="271">
        <f>IF(ISERROR(E29/(Asset!F93-Asset!F89)),"",IF(E29/(Asset!F93-Asset!F89)=0,"",E29/(Asset!F93-Asset!F89)))</f>
        <v>2.043506921555701E-2</v>
      </c>
      <c r="F192" s="271">
        <f>IF(ISERROR(F29/(Asset!G93-Asset!G89)),"",IF(F29/(Asset!G93-Asset!G89)=0,"",F29/(Asset!G93-Asset!G89)))</f>
        <v>2.992891881780772E-2</v>
      </c>
      <c r="G192" s="271">
        <f>IF(ISERROR(G29/(Asset!H93-Asset!H89)),"",IF(G29/(Asset!H93-Asset!H89)=0,"",G29/(Asset!H93-Asset!H89)))</f>
        <v>6.2355765159726642E-2</v>
      </c>
      <c r="H192" s="271">
        <f>IF(ISERROR(H29/(Asset!I93-Asset!I89)),"",IF(H29/(Asset!I93-Asset!I89)=0,"",H29/(Asset!I93-Asset!I89)))</f>
        <v>8.3558997923514733E-2</v>
      </c>
      <c r="I192" s="271">
        <f>IF(ISERROR(I29/(Asset!J93-Asset!J89)),"",IF(I29/(Asset!J93-Asset!J89)=0,"",I29/(Asset!J93-Asset!J89)))</f>
        <v>9.4892062611230218E-2</v>
      </c>
      <c r="J192" s="271">
        <f>IF(ISERROR(J29/(Asset!K93-Asset!K89)),"",IF(J29/(Asset!K93-Asset!K89)=0,"",J29/(Asset!K93-Asset!K89)))</f>
        <v>0.1053962867670596</v>
      </c>
      <c r="K192" s="271">
        <f>IF(ISERROR(K29/(Asset!L93-Asset!L89)),"",IF(K29/(Asset!L93-Asset!L89)=0,"",K29/(Asset!L93-Asset!L89)))</f>
        <v>0.118326664238826</v>
      </c>
      <c r="L192" s="271">
        <f>IF(ISERROR(L29/(Asset!M93-Asset!M89)),"",IF(L29/(Asset!M93-Asset!M89)=0,"",L29/(Asset!M93-Asset!M89)))</f>
        <v>0.1387917183963695</v>
      </c>
      <c r="M192" s="271" t="str">
        <f>IF(ISERROR(M29/(Asset!N93-Asset!N89)),"",IF(M29/(Asset!N93-Asset!N89)=0,"",M29/(Asset!N93-Asset!N89)))</f>
        <v/>
      </c>
      <c r="N192" s="271" t="str">
        <f>IF(ISERROR(N29/(Asset!O93-Asset!O89)),"",IF(N29/(Asset!O93-Asset!O89)=0,"",N29/(Asset!O93-Asset!O89)))</f>
        <v/>
      </c>
      <c r="O192" s="271" t="str">
        <f>IF(ISERROR(O29/(Asset!P93-Asset!P89)),"",IF(O29/(Asset!P93-Asset!P89)=0,"",O29/(Asset!P93-Asset!P89)))</f>
        <v/>
      </c>
      <c r="P192" s="271" t="str">
        <f>IF(ISERROR(P29/(Asset!Q93-Asset!Q89)),"",IF(P29/(Asset!Q93-Asset!Q89)=0,"",P29/(Asset!Q93-Asset!Q89)))</f>
        <v/>
      </c>
      <c r="Q192" s="271" t="str">
        <f>IF(ISERROR(Q29/(Asset!R93-Asset!R89)),"",IF(Q29/(Asset!R93-Asset!R89)=0,"",Q29/(Asset!R93-Asset!R89)))</f>
        <v/>
      </c>
      <c r="R192" s="271" t="str">
        <f>IF(ISERROR(R29/(Asset!S93-Asset!S89)),"",IF(R29/(Asset!S93-Asset!S89)=0,"",R29/(Asset!S93-Asset!S89)))</f>
        <v/>
      </c>
      <c r="S192" s="271" t="str">
        <f>IF(ISERROR(S29/(Asset!T93-Asset!T89)),"",IF(S29/(Asset!T93-Asset!T89)=0,"",S29/(Asset!T93-Asset!T89)))</f>
        <v/>
      </c>
      <c r="T192" s="271" t="str">
        <f>IF(ISERROR(T29/(Asset!U93-Asset!U89)),"",IF(T29/(Asset!U93-Asset!U89)=0,"",T29/(Asset!U93-Asset!U89)))</f>
        <v/>
      </c>
      <c r="U192" s="271" t="str">
        <f>IF(ISERROR(U29/(Asset!V93-Asset!V89)),"",IF(U29/(Asset!V93-Asset!V89)=0,"",U29/(Asset!V93-Asset!V89)))</f>
        <v/>
      </c>
      <c r="V192" s="618"/>
    </row>
    <row r="193" spans="1:22" s="303" customFormat="1" x14ac:dyDescent="0.2">
      <c r="A193" s="318" t="s">
        <v>428</v>
      </c>
      <c r="B193" s="271">
        <f>IF(ISERROR('Oper.St.'!C69/'Oper.St.'!C23),"",IF('Oper.St.'!C69/'Oper.St.'!C23=0,"",'Oper.St.'!C69/'Oper.St.'!C23))</f>
        <v>0.875</v>
      </c>
      <c r="C193" s="271">
        <f>IF(ISERROR('Oper.St.'!D69/'Oper.St.'!D23),"",IF('Oper.St.'!D69/'Oper.St.'!D23=0,"",'Oper.St.'!D69/'Oper.St.'!D23))</f>
        <v>0.87619047619047619</v>
      </c>
      <c r="D193" s="271">
        <f>IF(ISERROR('Oper.St.'!E69/'Oper.St.'!E23),"",IF('Oper.St.'!E69/'Oper.St.'!E23=0,"",'Oper.St.'!E69/'Oper.St.'!E23))</f>
        <v>0.80454545454545445</v>
      </c>
      <c r="E193" s="271">
        <f>IF(ISERROR('Oper.St.'!F69/'Oper.St.'!F23),"",IF('Oper.St.'!F69/'Oper.St.'!F23=0,"",'Oper.St.'!F69/'Oper.St.'!F23))</f>
        <v>0.80500000000000005</v>
      </c>
      <c r="F193" s="271">
        <f>IF(ISERROR('Oper.St.'!G69/'Oper.St.'!G23),"",IF('Oper.St.'!G69/'Oper.St.'!G23=0,"",'Oper.St.'!G69/'Oper.St.'!G23))</f>
        <v>0.91349999999999998</v>
      </c>
      <c r="G193" s="271">
        <f>IF(ISERROR('Oper.St.'!H69/'Oper.St.'!H23),"",IF('Oper.St.'!H69/'Oper.St.'!H23=0,"",'Oper.St.'!H69/'Oper.St.'!H23))</f>
        <v>0.91598599766627764</v>
      </c>
      <c r="H193" s="271">
        <f>IF(ISERROR('Oper.St.'!I69/'Oper.St.'!I23),"",IF('Oper.St.'!I69/'Oper.St.'!I23=0,"",'Oper.St.'!I69/'Oper.St.'!I23))</f>
        <v>0.91810984661058881</v>
      </c>
      <c r="I193" s="271">
        <f>IF(ISERROR('Oper.St.'!J69/'Oper.St.'!J23),"",IF('Oper.St.'!J69/'Oper.St.'!J23=0,"",'Oper.St.'!J69/'Oper.St.'!J23))</f>
        <v>0.9215241551372193</v>
      </c>
      <c r="J193" s="271">
        <f>IF(ISERROR('Oper.St.'!K69/'Oper.St.'!K23),"",IF('Oper.St.'!K69/'Oper.St.'!K23=0,"",'Oper.St.'!K69/'Oper.St.'!K23))</f>
        <v>0.92577147623019196</v>
      </c>
      <c r="K193" s="271">
        <f>IF(ISERROR('Oper.St.'!L69/'Oper.St.'!L23),"",IF('Oper.St.'!L69/'Oper.St.'!L23=0,"",'Oper.St.'!L69/'Oper.St.'!L23))</f>
        <v>0.92946377090140297</v>
      </c>
      <c r="L193" s="271">
        <f>IF(ISERROR('Oper.St.'!M69/'Oper.St.'!M23),"",IF('Oper.St.'!M69/'Oper.St.'!M23=0,"",'Oper.St.'!M69/'Oper.St.'!M23))</f>
        <v>0.9300711743772242</v>
      </c>
      <c r="M193" s="271" t="str">
        <f>IF(ISERROR('Oper.St.'!N69/'Oper.St.'!N23),"",IF('Oper.St.'!N69/'Oper.St.'!N23=0,"",'Oper.St.'!N69/'Oper.St.'!N23))</f>
        <v/>
      </c>
      <c r="N193" s="271" t="str">
        <f>IF(ISERROR('Oper.St.'!O69/'Oper.St.'!O23),"",IF('Oper.St.'!O69/'Oper.St.'!O23=0,"",'Oper.St.'!O69/'Oper.St.'!O23))</f>
        <v/>
      </c>
      <c r="O193" s="271" t="str">
        <f>IF(ISERROR('Oper.St.'!P69/'Oper.St.'!P23),"",IF('Oper.St.'!P69/'Oper.St.'!P23=0,"",'Oper.St.'!P69/'Oper.St.'!P23))</f>
        <v/>
      </c>
      <c r="P193" s="271" t="str">
        <f>IF(ISERROR('Oper.St.'!Q69/'Oper.St.'!Q23),"",IF('Oper.St.'!Q69/'Oper.St.'!Q23=0,"",'Oper.St.'!Q69/'Oper.St.'!Q23))</f>
        <v/>
      </c>
      <c r="Q193" s="271" t="str">
        <f>IF(ISERROR('Oper.St.'!R69/'Oper.St.'!R23),"",IF('Oper.St.'!R69/'Oper.St.'!R23=0,"",'Oper.St.'!R69/'Oper.St.'!R23))</f>
        <v/>
      </c>
      <c r="R193" s="271" t="str">
        <f>IF(ISERROR('Oper.St.'!S69/'Oper.St.'!S23),"",IF('Oper.St.'!S69/'Oper.St.'!S23=0,"",'Oper.St.'!S69/'Oper.St.'!S23))</f>
        <v/>
      </c>
      <c r="S193" s="271" t="str">
        <f>IF(ISERROR('Oper.St.'!T69/'Oper.St.'!T23),"",IF('Oper.St.'!T69/'Oper.St.'!T23=0,"",'Oper.St.'!T69/'Oper.St.'!T23))</f>
        <v/>
      </c>
      <c r="T193" s="271" t="str">
        <f>IF(ISERROR('Oper.St.'!U69/'Oper.St.'!U23),"",IF('Oper.St.'!U69/'Oper.St.'!U23=0,"",'Oper.St.'!U69/'Oper.St.'!U23))</f>
        <v/>
      </c>
      <c r="U193" s="271" t="str">
        <f>IF(ISERROR('Oper.St.'!V69/'Oper.St.'!V23),"",IF('Oper.St.'!V69/'Oper.St.'!V23=0,"",'Oper.St.'!V69/'Oper.St.'!V23))</f>
        <v/>
      </c>
      <c r="V193" s="618"/>
    </row>
    <row r="194" spans="1:22" s="303" customFormat="1" x14ac:dyDescent="0.2">
      <c r="A194" s="318" t="s">
        <v>431</v>
      </c>
      <c r="B194" s="271" t="str">
        <f>IF(ISERROR(B164/B160),"",IF(B164/B160=0,"",B164/B160))</f>
        <v/>
      </c>
      <c r="C194" s="271" t="str">
        <f t="shared" ref="C194:U194" si="86">IF(ISERROR(C164/C160),"",IF(C164/C160=0,"",C164/C160))</f>
        <v/>
      </c>
      <c r="D194" s="271" t="str">
        <f t="shared" si="86"/>
        <v/>
      </c>
      <c r="E194" s="271" t="str">
        <f t="shared" si="86"/>
        <v/>
      </c>
      <c r="F194" s="271">
        <f t="shared" si="86"/>
        <v>0.31446540880503149</v>
      </c>
      <c r="G194" s="271">
        <f t="shared" si="86"/>
        <v>0.20953569443828748</v>
      </c>
      <c r="H194" s="271">
        <f t="shared" si="86"/>
        <v>0.16538362395749659</v>
      </c>
      <c r="I194" s="271">
        <f t="shared" si="86"/>
        <v>0.14732362488140044</v>
      </c>
      <c r="J194" s="271">
        <f t="shared" si="86"/>
        <v>0.13410934251528595</v>
      </c>
      <c r="K194" s="271">
        <f t="shared" si="86"/>
        <v>0.12497610808308754</v>
      </c>
      <c r="L194" s="271">
        <f t="shared" si="86"/>
        <v>0.1197647259385414</v>
      </c>
      <c r="M194" s="271" t="str">
        <f t="shared" si="86"/>
        <v/>
      </c>
      <c r="N194" s="271" t="str">
        <f t="shared" si="86"/>
        <v/>
      </c>
      <c r="O194" s="271" t="str">
        <f t="shared" si="86"/>
        <v/>
      </c>
      <c r="P194" s="271" t="str">
        <f t="shared" si="86"/>
        <v/>
      </c>
      <c r="Q194" s="271" t="str">
        <f t="shared" si="86"/>
        <v/>
      </c>
      <c r="R194" s="271" t="str">
        <f t="shared" si="86"/>
        <v/>
      </c>
      <c r="S194" s="271" t="str">
        <f t="shared" si="86"/>
        <v/>
      </c>
      <c r="T194" s="271" t="str">
        <f t="shared" si="86"/>
        <v/>
      </c>
      <c r="U194" s="271" t="str">
        <f t="shared" si="86"/>
        <v/>
      </c>
      <c r="V194" s="618"/>
    </row>
    <row r="195" spans="1:22" s="320" customFormat="1" ht="26.25" customHeight="1" x14ac:dyDescent="0.2">
      <c r="A195" s="319" t="s">
        <v>397</v>
      </c>
      <c r="B195" s="275">
        <f>B238</f>
        <v>5</v>
      </c>
      <c r="C195" s="275">
        <f t="shared" ref="C195:U195" si="87">C238</f>
        <v>35</v>
      </c>
      <c r="D195" s="275">
        <f t="shared" si="87"/>
        <v>48</v>
      </c>
      <c r="E195" s="275">
        <f t="shared" si="87"/>
        <v>55</v>
      </c>
      <c r="F195" s="275">
        <f t="shared" si="87"/>
        <v>82</v>
      </c>
      <c r="G195" s="275">
        <f t="shared" si="87"/>
        <v>78</v>
      </c>
      <c r="H195" s="275">
        <f t="shared" si="87"/>
        <v>86</v>
      </c>
      <c r="I195" s="275">
        <f t="shared" si="87"/>
        <v>87</v>
      </c>
      <c r="J195" s="275">
        <f t="shared" si="87"/>
        <v>87</v>
      </c>
      <c r="K195" s="275">
        <f t="shared" si="87"/>
        <v>85</v>
      </c>
      <c r="L195" s="275">
        <f t="shared" si="87"/>
        <v>82</v>
      </c>
      <c r="M195" s="275" t="str">
        <f t="shared" si="87"/>
        <v/>
      </c>
      <c r="N195" s="275" t="str">
        <f t="shared" si="87"/>
        <v/>
      </c>
      <c r="O195" s="275" t="str">
        <f t="shared" si="87"/>
        <v/>
      </c>
      <c r="P195" s="275" t="str">
        <f t="shared" si="87"/>
        <v/>
      </c>
      <c r="Q195" s="275" t="str">
        <f t="shared" si="87"/>
        <v/>
      </c>
      <c r="R195" s="275" t="str">
        <f t="shared" si="87"/>
        <v/>
      </c>
      <c r="S195" s="275" t="str">
        <f t="shared" si="87"/>
        <v/>
      </c>
      <c r="T195" s="275" t="str">
        <f t="shared" si="87"/>
        <v/>
      </c>
      <c r="U195" s="275" t="str">
        <f t="shared" si="87"/>
        <v/>
      </c>
      <c r="V195" s="624"/>
    </row>
    <row r="196" spans="1:22" s="303" customFormat="1" x14ac:dyDescent="0.2">
      <c r="A196" s="318" t="s">
        <v>1060</v>
      </c>
      <c r="B196" s="271" t="str">
        <f>IF(ISERROR('Oper.St.'!C73/'Oper.St.'!C65),"",IF('Oper.St.'!C73/'Oper.St.'!C65=0,"",'Oper.St.'!C73/'Oper.St.'!C65))</f>
        <v/>
      </c>
      <c r="C196" s="271" t="str">
        <f>IF(ISERROR('Oper.St.'!D73/'Oper.St.'!D65),"",IF('Oper.St.'!D73/'Oper.St.'!D65=0,"",'Oper.St.'!D73/'Oper.St.'!D65))</f>
        <v/>
      </c>
      <c r="D196" s="271">
        <f>IF(ISERROR('Oper.St.'!E73/'Oper.St.'!E65),"",IF('Oper.St.'!E73/'Oper.St.'!E65=0,"",'Oper.St.'!E73/'Oper.St.'!E65))</f>
        <v>2.5</v>
      </c>
      <c r="E196" s="271">
        <f>IF(ISERROR('Oper.St.'!F73/'Oper.St.'!F65),"",IF('Oper.St.'!F73/'Oper.St.'!F65=0,"",'Oper.St.'!F73/'Oper.St.'!F65))</f>
        <v>23.499999999999996</v>
      </c>
      <c r="F196" s="271">
        <f>IF(ISERROR('Oper.St.'!G73/'Oper.St.'!G65),"",IF('Oper.St.'!G73/'Oper.St.'!G65=0,"",'Oper.St.'!G73/'Oper.St.'!G65))</f>
        <v>7.672849915682968E-2</v>
      </c>
      <c r="G196" s="271">
        <f>IF(ISERROR('Oper.St.'!H73/'Oper.St.'!H65),"",IF('Oper.St.'!H73/'Oper.St.'!H65=0,"",'Oper.St.'!H73/'Oper.St.'!H65))</f>
        <v>5.0230550699300713E-2</v>
      </c>
      <c r="H196" s="271">
        <f>IF(ISERROR('Oper.St.'!I73/'Oper.St.'!I65),"",IF('Oper.St.'!I73/'Oper.St.'!I65=0,"",'Oper.St.'!I73/'Oper.St.'!I65))</f>
        <v>3.527521929824564E-2</v>
      </c>
      <c r="I196" s="271">
        <f>IF(ISERROR('Oper.St.'!J73/'Oper.St.'!J65),"",IF('Oper.St.'!J73/'Oper.St.'!J65=0,"",'Oper.St.'!J73/'Oper.St.'!J65))</f>
        <v>2.8123992612491638E-2</v>
      </c>
      <c r="J196" s="271">
        <f>IF(ISERROR('Oper.St.'!K73/'Oper.St.'!K65),"",IF('Oper.St.'!K73/'Oper.St.'!K65=0,"",'Oper.St.'!K73/'Oper.St.'!K65))</f>
        <v>2.1106412639405235E-2</v>
      </c>
      <c r="K196" s="271">
        <f>IF(ISERROR('Oper.St.'!L73/'Oper.St.'!L65),"",IF('Oper.St.'!L73/'Oper.St.'!L65=0,"",'Oper.St.'!L73/'Oper.St.'!L65))</f>
        <v>1.4404659188956021E-2</v>
      </c>
      <c r="L196" s="271">
        <f>IF(ISERROR('Oper.St.'!M73/'Oper.St.'!M65),"",IF('Oper.St.'!M73/'Oper.St.'!M65=0,"",'Oper.St.'!M73/'Oper.St.'!M65))</f>
        <v>7.7636718750000245E-3</v>
      </c>
      <c r="M196" s="271" t="str">
        <f>IF(ISERROR('Oper.St.'!N73/'Oper.St.'!N65),"",IF('Oper.St.'!N73/'Oper.St.'!N65=0,"",'Oper.St.'!N73/'Oper.St.'!N65))</f>
        <v/>
      </c>
      <c r="N196" s="271" t="str">
        <f>IF(ISERROR('Oper.St.'!O73/'Oper.St.'!O65),"",IF('Oper.St.'!O73/'Oper.St.'!O65=0,"",'Oper.St.'!O73/'Oper.St.'!O65))</f>
        <v/>
      </c>
      <c r="O196" s="271" t="str">
        <f>IF(ISERROR('Oper.St.'!P73/'Oper.St.'!P65),"",IF('Oper.St.'!P73/'Oper.St.'!P65=0,"",'Oper.St.'!P73/'Oper.St.'!P65))</f>
        <v/>
      </c>
      <c r="P196" s="271" t="str">
        <f>IF(ISERROR('Oper.St.'!Q73/'Oper.St.'!Q65),"",IF('Oper.St.'!Q73/'Oper.St.'!Q65=0,"",'Oper.St.'!Q73/'Oper.St.'!Q65))</f>
        <v/>
      </c>
      <c r="Q196" s="271" t="str">
        <f>IF(ISERROR('Oper.St.'!R73/'Oper.St.'!R65),"",IF('Oper.St.'!R73/'Oper.St.'!R65=0,"",'Oper.St.'!R73/'Oper.St.'!R65))</f>
        <v/>
      </c>
      <c r="R196" s="271" t="str">
        <f>IF(ISERROR('Oper.St.'!S73/'Oper.St.'!S65),"",IF('Oper.St.'!S73/'Oper.St.'!S65=0,"",'Oper.St.'!S73/'Oper.St.'!S65))</f>
        <v/>
      </c>
      <c r="S196" s="271" t="str">
        <f>IF(ISERROR('Oper.St.'!T73/'Oper.St.'!T65),"",IF('Oper.St.'!T73/'Oper.St.'!T65=0,"",'Oper.St.'!T73/'Oper.St.'!T65))</f>
        <v/>
      </c>
      <c r="T196" s="271" t="str">
        <f>IF(ISERROR('Oper.St.'!U73/'Oper.St.'!U65),"",IF('Oper.St.'!U73/'Oper.St.'!U65=0,"",'Oper.St.'!U73/'Oper.St.'!U65))</f>
        <v/>
      </c>
      <c r="U196" s="271" t="str">
        <f>IF(ISERROR('Oper.St.'!V73/'Oper.St.'!V65),"",IF('Oper.St.'!V73/'Oper.St.'!V65=0,"",'Oper.St.'!V73/'Oper.St.'!V65))</f>
        <v/>
      </c>
      <c r="V196" s="618"/>
    </row>
    <row r="197" spans="1:22" s="303" customFormat="1" x14ac:dyDescent="0.2">
      <c r="A197" s="318" t="s">
        <v>1059</v>
      </c>
      <c r="B197" s="271" t="str">
        <f>IF(ISERROR(B164/'Oper.St.'!C17),"",IF(B164/'Oper.St.'!C17=0,"",B164/'Oper.St.'!C17))</f>
        <v/>
      </c>
      <c r="C197" s="271" t="str">
        <f>IF(ISERROR(C164/'Oper.St.'!D17),"",IF(C164/'Oper.St.'!D17=0,"",C164/'Oper.St.'!D17))</f>
        <v/>
      </c>
      <c r="D197" s="271" t="str">
        <f>IF(ISERROR(D164/'Oper.St.'!E17),"",IF(D164/'Oper.St.'!E17=0,"",D164/'Oper.St.'!E17))</f>
        <v/>
      </c>
      <c r="E197" s="271" t="str">
        <f>IF(ISERROR(E164/'Oper.St.'!F17),"",IF(E164/'Oper.St.'!F17=0,"",E164/'Oper.St.'!F17))</f>
        <v/>
      </c>
      <c r="F197" s="271">
        <f>IF(ISERROR(F164/'Oper.St.'!G17),"",IF(F164/'Oper.St.'!G17=0,"",F164/'Oper.St.'!G17))</f>
        <v>0.1</v>
      </c>
      <c r="G197" s="271">
        <f>IF(ISERROR(G164/'Oper.St.'!H17),"",IF(G164/'Oper.St.'!H17=0,"",G164/'Oper.St.'!H17))</f>
        <v>5.8343057176196034E-2</v>
      </c>
      <c r="H197" s="271">
        <f>IF(ISERROR(H164/'Oper.St.'!I17),"",IF(H164/'Oper.St.'!I17=0,"",H164/'Oper.St.'!I17))</f>
        <v>4.9480455220188027E-2</v>
      </c>
      <c r="I197" s="271">
        <f>IF(ISERROR(I164/'Oper.St.'!J17),"",IF(I164/'Oper.St.'!J17=0,"",I164/'Oper.St.'!J17))</f>
        <v>4.5361760036289403E-2</v>
      </c>
      <c r="J197" s="271">
        <f>IF(ISERROR(J164/'Oper.St.'!K17),"",IF(J164/'Oper.St.'!K17=0,"",J164/'Oper.St.'!K17))</f>
        <v>4.1701417848206836E-2</v>
      </c>
      <c r="K197" s="271">
        <f>IF(ISERROR(K164/'Oper.St.'!L17),"",IF(K164/'Oper.St.'!L17=0,"",K164/'Oper.St.'!L17))</f>
        <v>3.8439361906592348E-2</v>
      </c>
      <c r="L197" s="271">
        <f>IF(ISERROR(L164/'Oper.St.'!M17),"",IF(L164/'Oper.St.'!M17=0,"",L164/'Oper.St.'!M17))</f>
        <v>3.5587188612099641E-2</v>
      </c>
      <c r="M197" s="271" t="str">
        <f>IF(ISERROR(M164/'Oper.St.'!N17),"",IF(M164/'Oper.St.'!N17=0,"",M164/'Oper.St.'!N17))</f>
        <v/>
      </c>
      <c r="N197" s="271" t="str">
        <f>IF(ISERROR(N164/'Oper.St.'!O17),"",IF(N164/'Oper.St.'!O17=0,"",N164/'Oper.St.'!O17))</f>
        <v/>
      </c>
      <c r="O197" s="271" t="str">
        <f>IF(ISERROR(O164/'Oper.St.'!P17),"",IF(O164/'Oper.St.'!P17=0,"",O164/'Oper.St.'!P17))</f>
        <v/>
      </c>
      <c r="P197" s="271" t="str">
        <f>IF(ISERROR(P164/'Oper.St.'!Q17),"",IF(P164/'Oper.St.'!Q17=0,"",P164/'Oper.St.'!Q17))</f>
        <v/>
      </c>
      <c r="Q197" s="271" t="str">
        <f>IF(ISERROR(Q164/'Oper.St.'!R17),"",IF(Q164/'Oper.St.'!R17=0,"",Q164/'Oper.St.'!R17))</f>
        <v/>
      </c>
      <c r="R197" s="271" t="str">
        <f>IF(ISERROR(R164/'Oper.St.'!S17),"",IF(R164/'Oper.St.'!S17=0,"",R164/'Oper.St.'!S17))</f>
        <v/>
      </c>
      <c r="S197" s="271" t="str">
        <f>IF(ISERROR(S164/'Oper.St.'!T17),"",IF(S164/'Oper.St.'!T17=0,"",S164/'Oper.St.'!T17))</f>
        <v/>
      </c>
      <c r="T197" s="271" t="str">
        <f>IF(ISERROR(T164/'Oper.St.'!U17),"",IF(T164/'Oper.St.'!U17=0,"",T164/'Oper.St.'!U17))</f>
        <v/>
      </c>
      <c r="U197" s="271" t="str">
        <f>IF(ISERROR(U164/'Oper.St.'!V17),"",IF(U164/'Oper.St.'!V17=0,"",U164/'Oper.St.'!V17))</f>
        <v/>
      </c>
      <c r="V197" s="618"/>
    </row>
    <row r="198" spans="1:22" ht="21.75" customHeight="1" x14ac:dyDescent="0.2">
      <c r="A198" s="629" t="s">
        <v>893</v>
      </c>
      <c r="B198" s="610"/>
      <c r="C198" s="610"/>
      <c r="D198" s="610"/>
      <c r="E198" s="610"/>
      <c r="F198" s="610"/>
      <c r="G198" s="610"/>
      <c r="H198" s="610"/>
      <c r="I198" s="610"/>
      <c r="J198" s="610"/>
      <c r="K198" s="610"/>
      <c r="L198" s="610"/>
      <c r="M198" s="610"/>
      <c r="N198" s="610"/>
      <c r="O198" s="610"/>
      <c r="P198" s="610"/>
      <c r="Q198" s="610"/>
      <c r="R198" s="610"/>
      <c r="S198" s="610"/>
      <c r="T198" s="610"/>
      <c r="U198" s="610"/>
      <c r="V198" s="612"/>
    </row>
    <row r="199" spans="1:22" s="297" customFormat="1" ht="12.75" customHeight="1" x14ac:dyDescent="0.25">
      <c r="A199" s="296"/>
      <c r="B199" s="261">
        <f>B3</f>
        <v>2020</v>
      </c>
      <c r="C199" s="261">
        <f t="shared" ref="C199:O199" si="88">C3</f>
        <v>2021</v>
      </c>
      <c r="D199" s="261">
        <f t="shared" si="88"/>
        <v>2022</v>
      </c>
      <c r="E199" s="261">
        <f t="shared" si="88"/>
        <v>2023</v>
      </c>
      <c r="F199" s="261">
        <f t="shared" si="88"/>
        <v>2024</v>
      </c>
      <c r="G199" s="261">
        <f t="shared" si="88"/>
        <v>2025</v>
      </c>
      <c r="H199" s="261">
        <f t="shared" si="88"/>
        <v>2026</v>
      </c>
      <c r="I199" s="261">
        <f t="shared" si="88"/>
        <v>2027</v>
      </c>
      <c r="J199" s="261">
        <f t="shared" si="88"/>
        <v>2028</v>
      </c>
      <c r="K199" s="261">
        <f t="shared" si="88"/>
        <v>2029</v>
      </c>
      <c r="L199" s="261">
        <f t="shared" si="88"/>
        <v>2030</v>
      </c>
      <c r="M199" s="261">
        <f t="shared" si="88"/>
        <v>2031</v>
      </c>
      <c r="N199" s="261">
        <f t="shared" si="88"/>
        <v>2032</v>
      </c>
      <c r="O199" s="261">
        <f t="shared" si="88"/>
        <v>2033</v>
      </c>
      <c r="P199" s="261">
        <f t="shared" ref="P199:U199" si="89">P3</f>
        <v>2034</v>
      </c>
      <c r="Q199" s="261">
        <f t="shared" si="89"/>
        <v>2035</v>
      </c>
      <c r="R199" s="261">
        <f t="shared" si="89"/>
        <v>2036</v>
      </c>
      <c r="S199" s="261">
        <f t="shared" si="89"/>
        <v>2037</v>
      </c>
      <c r="T199" s="261">
        <f t="shared" si="89"/>
        <v>2038</v>
      </c>
      <c r="U199" s="261">
        <f t="shared" si="89"/>
        <v>2039</v>
      </c>
      <c r="V199" s="613"/>
    </row>
    <row r="200" spans="1:22" s="297" customFormat="1" ht="12.75" customHeight="1" x14ac:dyDescent="0.25">
      <c r="A200" s="296"/>
      <c r="B200" s="261" t="str">
        <f>B159</f>
        <v>AUD.</v>
      </c>
      <c r="C200" s="261" t="str">
        <f t="shared" ref="C200:O200" si="90">C159</f>
        <v>AUD.</v>
      </c>
      <c r="D200" s="261" t="str">
        <f t="shared" si="90"/>
        <v>AUD.</v>
      </c>
      <c r="E200" s="261" t="str">
        <f t="shared" si="90"/>
        <v>EST.</v>
      </c>
      <c r="F200" s="261" t="str">
        <f t="shared" si="90"/>
        <v>PROJ.</v>
      </c>
      <c r="G200" s="261" t="str">
        <f t="shared" si="90"/>
        <v>PROJ.</v>
      </c>
      <c r="H200" s="261" t="str">
        <f t="shared" si="90"/>
        <v>PROJ.</v>
      </c>
      <c r="I200" s="261" t="str">
        <f t="shared" si="90"/>
        <v>PROJ.</v>
      </c>
      <c r="J200" s="261" t="str">
        <f t="shared" si="90"/>
        <v>PROJ.</v>
      </c>
      <c r="K200" s="261" t="str">
        <f t="shared" si="90"/>
        <v>PROJ.</v>
      </c>
      <c r="L200" s="261" t="str">
        <f t="shared" si="90"/>
        <v>PROJ.</v>
      </c>
      <c r="M200" s="261" t="str">
        <f t="shared" si="90"/>
        <v>PROJ.</v>
      </c>
      <c r="N200" s="261" t="str">
        <f t="shared" si="90"/>
        <v>PROJ.</v>
      </c>
      <c r="O200" s="261" t="str">
        <f t="shared" si="90"/>
        <v>PROJ.</v>
      </c>
      <c r="P200" s="261" t="str">
        <f t="shared" ref="P200:U200" si="91">P159</f>
        <v>PROJ.</v>
      </c>
      <c r="Q200" s="261" t="str">
        <f t="shared" si="91"/>
        <v>PROJ.</v>
      </c>
      <c r="R200" s="261" t="str">
        <f t="shared" si="91"/>
        <v>PROJ.</v>
      </c>
      <c r="S200" s="261" t="str">
        <f t="shared" si="91"/>
        <v>PROJ.</v>
      </c>
      <c r="T200" s="261" t="str">
        <f t="shared" si="91"/>
        <v>PROJ.</v>
      </c>
      <c r="U200" s="261" t="str">
        <f t="shared" si="91"/>
        <v>PROJ.</v>
      </c>
      <c r="V200" s="613"/>
    </row>
    <row r="201" spans="1:22" s="75" customFormat="1" ht="12" customHeight="1" x14ac:dyDescent="0.2">
      <c r="A201" s="308" t="s">
        <v>323</v>
      </c>
      <c r="B201" s="290">
        <f>B232</f>
        <v>1.31</v>
      </c>
      <c r="C201" s="290">
        <f t="shared" ref="C201:U201" si="92">C232</f>
        <v>2.4700000000000002</v>
      </c>
      <c r="D201" s="290">
        <f t="shared" si="92"/>
        <v>0.55000000000000004</v>
      </c>
      <c r="E201" s="290">
        <f t="shared" si="92"/>
        <v>0.64</v>
      </c>
      <c r="F201" s="290">
        <f t="shared" si="92"/>
        <v>1.37</v>
      </c>
      <c r="G201" s="290">
        <f t="shared" si="92"/>
        <v>1.71</v>
      </c>
      <c r="H201" s="290">
        <f t="shared" si="92"/>
        <v>1.97</v>
      </c>
      <c r="I201" s="290">
        <f t="shared" si="92"/>
        <v>2.2400000000000002</v>
      </c>
      <c r="J201" s="290">
        <f t="shared" si="92"/>
        <v>2.4300000000000002</v>
      </c>
      <c r="K201" s="290">
        <f t="shared" si="92"/>
        <v>2.4300000000000002</v>
      </c>
      <c r="L201" s="290">
        <f t="shared" si="92"/>
        <v>4.78</v>
      </c>
      <c r="M201" s="290" t="str">
        <f t="shared" si="92"/>
        <v/>
      </c>
      <c r="N201" s="290" t="str">
        <f t="shared" si="92"/>
        <v/>
      </c>
      <c r="O201" s="290" t="str">
        <f t="shared" si="92"/>
        <v/>
      </c>
      <c r="P201" s="290" t="str">
        <f t="shared" si="92"/>
        <v/>
      </c>
      <c r="Q201" s="290" t="str">
        <f t="shared" si="92"/>
        <v/>
      </c>
      <c r="R201" s="290" t="str">
        <f t="shared" si="92"/>
        <v/>
      </c>
      <c r="S201" s="290" t="str">
        <f t="shared" si="92"/>
        <v/>
      </c>
      <c r="T201" s="290" t="str">
        <f t="shared" si="92"/>
        <v/>
      </c>
      <c r="U201" s="290" t="str">
        <f t="shared" si="92"/>
        <v/>
      </c>
      <c r="V201" s="621"/>
    </row>
    <row r="202" spans="1:22" s="75" customFormat="1" ht="12" customHeight="1" x14ac:dyDescent="0.2">
      <c r="A202" s="876" t="s">
        <v>1052</v>
      </c>
      <c r="B202" s="877" t="str">
        <f>IF(INPUT!C48="","",CONCATENATE("(",INPUT!C48,")"))</f>
        <v/>
      </c>
      <c r="C202" s="877" t="str">
        <f>IF(INPUT!D48="","",CONCATENATE("(",INPUT!D48,")"))</f>
        <v/>
      </c>
      <c r="D202" s="877" t="str">
        <f>IF(INPUT!E48="","",CONCATENATE("(",INPUT!E48,")"))</f>
        <v/>
      </c>
      <c r="E202" s="877" t="str">
        <f>IF(INPUT!F48="","",CONCATENATE("(",INPUT!F48,")"))</f>
        <v/>
      </c>
      <c r="F202" s="877" t="str">
        <f>IF(INPUT!G48="","",CONCATENATE("(",INPUT!G48,")"))</f>
        <v/>
      </c>
      <c r="G202" s="877" t="str">
        <f>IF(INPUT!H48="","",CONCATENATE("(",INPUT!H48,")"))</f>
        <v/>
      </c>
      <c r="H202" s="877" t="str">
        <f>IF(INPUT!I48="","",CONCATENATE("(",INPUT!I48,")"))</f>
        <v/>
      </c>
      <c r="I202" s="877" t="str">
        <f>IF(INPUT!J48="","",CONCATENATE("(",INPUT!J48,")"))</f>
        <v/>
      </c>
      <c r="J202" s="877" t="str">
        <f>IF(INPUT!K48="","",CONCATENATE("(",INPUT!K48,")"))</f>
        <v/>
      </c>
      <c r="K202" s="877" t="str">
        <f>IF(INPUT!L48="","",CONCATENATE("(",INPUT!L48,")"))</f>
        <v/>
      </c>
      <c r="L202" s="877" t="str">
        <f>IF(INPUT!M48="","",CONCATENATE("(",INPUT!M48,")"))</f>
        <v/>
      </c>
      <c r="M202" s="877" t="str">
        <f>IF(INPUT!N48="","",CONCATENATE("(",INPUT!N48,")"))</f>
        <v/>
      </c>
      <c r="N202" s="877" t="str">
        <f>IF(INPUT!O48="","",CONCATENATE("(",INPUT!O48,")"))</f>
        <v/>
      </c>
      <c r="O202" s="877" t="str">
        <f>IF(INPUT!P48="","",CONCATENATE("(",INPUT!P48,")"))</f>
        <v/>
      </c>
      <c r="P202" s="877" t="str">
        <f>IF(INPUT!Q48="","",CONCATENATE("(",INPUT!Q48,")"))</f>
        <v/>
      </c>
      <c r="Q202" s="877" t="str">
        <f>IF(INPUT!R48="","",CONCATENATE("(",INPUT!R48,")"))</f>
        <v/>
      </c>
      <c r="R202" s="877" t="str">
        <f>IF(INPUT!S48="","",CONCATENATE("(",INPUT!S48,")"))</f>
        <v/>
      </c>
      <c r="S202" s="877" t="str">
        <f>IF(INPUT!T48="","",CONCATENATE("(",INPUT!T48,")"))</f>
        <v/>
      </c>
      <c r="T202" s="877" t="str">
        <f>IF(INPUT!U48="","",CONCATENATE("(",INPUT!U48,")"))</f>
        <v/>
      </c>
      <c r="U202" s="877" t="str">
        <f>IF(INPUT!V48="","",CONCATENATE("(",INPUT!V48,")"))</f>
        <v/>
      </c>
      <c r="V202" s="621"/>
    </row>
    <row r="203" spans="1:22" s="75" customFormat="1" ht="12" customHeight="1" x14ac:dyDescent="0.2">
      <c r="A203" s="309" t="s">
        <v>894</v>
      </c>
      <c r="B203" s="399" t="str">
        <f>IF(ISERROR(('Ratio New'!B201-INPUT!C200)/INPUT!C200),"",('Ratio New'!B201-INPUT!C200)/INPUT!C200)</f>
        <v/>
      </c>
      <c r="C203" s="399" t="str">
        <f>IF(ISERROR(('Ratio New'!C201-INPUT!D200)/INPUT!D200),"",('Ratio New'!C201-INPUT!D200)/INPUT!D200)</f>
        <v/>
      </c>
      <c r="D203" s="399" t="str">
        <f>IF(ISERROR(('Ratio New'!D201-INPUT!E200)/INPUT!E200),"",('Ratio New'!D201-INPUT!E200)/INPUT!E200)</f>
        <v/>
      </c>
      <c r="E203" s="399" t="str">
        <f>IF(ISERROR(('Ratio New'!E201-INPUT!F200)/INPUT!F200),"",('Ratio New'!E201-INPUT!F200)/INPUT!F200)</f>
        <v/>
      </c>
      <c r="F203" s="399" t="str">
        <f>IF(ISERROR(('Ratio New'!F201-INPUT!G200)/INPUT!G200),"",('Ratio New'!F201-INPUT!G200)/INPUT!G200)</f>
        <v/>
      </c>
      <c r="G203" s="399" t="str">
        <f>IF(ISERROR(('Ratio New'!G201-INPUT!H200)/INPUT!H200),"",('Ratio New'!G201-INPUT!H200)/INPUT!H200)</f>
        <v/>
      </c>
      <c r="H203" s="399" t="str">
        <f>IF(ISERROR(('Ratio New'!H201-INPUT!I200)/INPUT!I200),"",('Ratio New'!H201-INPUT!I200)/INPUT!I200)</f>
        <v/>
      </c>
      <c r="I203" s="399" t="str">
        <f>IF(ISERROR(('Ratio New'!I201-INPUT!J200)/INPUT!J200),"",('Ratio New'!I201-INPUT!J200)/INPUT!J200)</f>
        <v/>
      </c>
      <c r="J203" s="399" t="str">
        <f>IF(ISERROR(('Ratio New'!J201-INPUT!K200)/INPUT!K200),"",('Ratio New'!J201-INPUT!K200)/INPUT!K200)</f>
        <v/>
      </c>
      <c r="K203" s="399" t="str">
        <f>IF(ISERROR(('Ratio New'!K201-INPUT!L200)/INPUT!L200),"",('Ratio New'!K201-INPUT!L200)/INPUT!L200)</f>
        <v/>
      </c>
      <c r="L203" s="399" t="str">
        <f>IF(ISERROR(('Ratio New'!L201-INPUT!M200)/INPUT!M200),"",('Ratio New'!L201-INPUT!M200)/INPUT!M200)</f>
        <v/>
      </c>
      <c r="M203" s="399" t="str">
        <f>IF(ISERROR(('Ratio New'!M201-INPUT!N200)/INPUT!N200),"",('Ratio New'!M201-INPUT!N200)/INPUT!N200)</f>
        <v/>
      </c>
      <c r="N203" s="399" t="str">
        <f>IF(ISERROR(('Ratio New'!N201-INPUT!O200)/INPUT!O200),"",('Ratio New'!N201-INPUT!O200)/INPUT!O200)</f>
        <v/>
      </c>
      <c r="O203" s="399" t="str">
        <f>IF(ISERROR(('Ratio New'!O201-INPUT!P200)/INPUT!P200),"",('Ratio New'!O201-INPUT!P200)/INPUT!P200)</f>
        <v/>
      </c>
      <c r="P203" s="399" t="str">
        <f>IF(ISERROR(('Ratio New'!P201-INPUT!Q200)/INPUT!Q200),"",('Ratio New'!P201-INPUT!Q200)/INPUT!Q200)</f>
        <v/>
      </c>
      <c r="Q203" s="399" t="str">
        <f>IF(ISERROR(('Ratio New'!Q201-INPUT!R200)/INPUT!R200),"",('Ratio New'!Q201-INPUT!R200)/INPUT!R200)</f>
        <v/>
      </c>
      <c r="R203" s="399" t="str">
        <f>IF(ISERROR(('Ratio New'!R201-INPUT!S200)/INPUT!S200),"",('Ratio New'!R201-INPUT!S200)/INPUT!S200)</f>
        <v/>
      </c>
      <c r="S203" s="399" t="str">
        <f>IF(ISERROR(('Ratio New'!S201-INPUT!T200)/INPUT!T200),"",('Ratio New'!S201-INPUT!T200)/INPUT!T200)</f>
        <v/>
      </c>
      <c r="T203" s="399" t="str">
        <f>IF(ISERROR(('Ratio New'!T201-INPUT!U200)/INPUT!U200),"",('Ratio New'!T201-INPUT!U200)/INPUT!U200)</f>
        <v/>
      </c>
      <c r="U203" s="399" t="str">
        <f>IF(ISERROR(('Ratio New'!U201-INPUT!V200)/INPUT!V200),"",('Ratio New'!U201-INPUT!V200)/INPUT!V200)</f>
        <v/>
      </c>
      <c r="V203" s="621"/>
    </row>
    <row r="204" spans="1:22" s="312" customFormat="1" ht="12" customHeight="1" x14ac:dyDescent="0.2">
      <c r="A204" s="310" t="s">
        <v>20</v>
      </c>
      <c r="B204" s="290">
        <f>B231</f>
        <v>2.5</v>
      </c>
      <c r="C204" s="290">
        <f t="shared" ref="C204:U204" si="93">C231</f>
        <v>1.59</v>
      </c>
      <c r="D204" s="290">
        <f t="shared" si="93"/>
        <v>10.02</v>
      </c>
      <c r="E204" s="290">
        <f t="shared" si="93"/>
        <v>0.77</v>
      </c>
      <c r="F204" s="290">
        <f t="shared" si="93"/>
        <v>1.38</v>
      </c>
      <c r="G204" s="290">
        <f t="shared" si="93"/>
        <v>1.2</v>
      </c>
      <c r="H204" s="290">
        <f t="shared" si="93"/>
        <v>0.97</v>
      </c>
      <c r="I204" s="290">
        <f t="shared" si="93"/>
        <v>0.72</v>
      </c>
      <c r="J204" s="290">
        <f t="shared" si="93"/>
        <v>0.51</v>
      </c>
      <c r="K204" s="290">
        <f t="shared" si="93"/>
        <v>0.33</v>
      </c>
      <c r="L204" s="290">
        <f t="shared" si="93"/>
        <v>0.15</v>
      </c>
      <c r="M204" s="290" t="str">
        <f t="shared" si="93"/>
        <v/>
      </c>
      <c r="N204" s="290" t="str">
        <f t="shared" si="93"/>
        <v/>
      </c>
      <c r="O204" s="290" t="str">
        <f t="shared" si="93"/>
        <v/>
      </c>
      <c r="P204" s="290" t="str">
        <f t="shared" si="93"/>
        <v/>
      </c>
      <c r="Q204" s="290" t="str">
        <f t="shared" si="93"/>
        <v/>
      </c>
      <c r="R204" s="290" t="str">
        <f t="shared" si="93"/>
        <v/>
      </c>
      <c r="S204" s="290" t="str">
        <f t="shared" si="93"/>
        <v/>
      </c>
      <c r="T204" s="290" t="str">
        <f t="shared" si="93"/>
        <v/>
      </c>
      <c r="U204" s="290" t="str">
        <f t="shared" si="93"/>
        <v/>
      </c>
      <c r="V204" s="622"/>
    </row>
    <row r="205" spans="1:22" s="312" customFormat="1" ht="12" customHeight="1" x14ac:dyDescent="0.2">
      <c r="A205" s="876" t="s">
        <v>1052</v>
      </c>
      <c r="B205" s="877" t="str">
        <f>IF(INPUT!C46="","",CONCATENATE("(",INPUT!C46,")"))</f>
        <v/>
      </c>
      <c r="C205" s="877" t="str">
        <f>IF(INPUT!D46="","",CONCATENATE("(",INPUT!D46,")"))</f>
        <v/>
      </c>
      <c r="D205" s="877" t="str">
        <f>IF(INPUT!E46="","",CONCATENATE("(",INPUT!E46,")"))</f>
        <v/>
      </c>
      <c r="E205" s="877" t="str">
        <f>IF(INPUT!F46="","",CONCATENATE("(",INPUT!F46,")"))</f>
        <v/>
      </c>
      <c r="F205" s="877" t="str">
        <f>IF(INPUT!G46="","",CONCATENATE("(",INPUT!G46,")"))</f>
        <v/>
      </c>
      <c r="G205" s="877" t="str">
        <f>IF(INPUT!H46="","",CONCATENATE("(",INPUT!H46,")"))</f>
        <v/>
      </c>
      <c r="H205" s="877" t="str">
        <f>IF(INPUT!I46="","",CONCATENATE("(",INPUT!I46,")"))</f>
        <v/>
      </c>
      <c r="I205" s="877" t="str">
        <f>IF(INPUT!J46="","",CONCATENATE("(",INPUT!J46,")"))</f>
        <v/>
      </c>
      <c r="J205" s="877" t="str">
        <f>IF(INPUT!K46="","",CONCATENATE("(",INPUT!K46,")"))</f>
        <v/>
      </c>
      <c r="K205" s="877" t="str">
        <f>IF(INPUT!L46="","",CONCATENATE("(",INPUT!L46,")"))</f>
        <v/>
      </c>
      <c r="L205" s="877" t="str">
        <f>IF(INPUT!M46="","",CONCATENATE("(",INPUT!M46,")"))</f>
        <v/>
      </c>
      <c r="M205" s="877" t="str">
        <f>IF(INPUT!N46="","",CONCATENATE("(",INPUT!N46,")"))</f>
        <v/>
      </c>
      <c r="N205" s="877" t="str">
        <f>IF(INPUT!O46="","",CONCATENATE("(",INPUT!O46,")"))</f>
        <v/>
      </c>
      <c r="O205" s="877" t="str">
        <f>IF(INPUT!P46="","",CONCATENATE("(",INPUT!P46,")"))</f>
        <v/>
      </c>
      <c r="P205" s="877" t="str">
        <f>IF(INPUT!Q46="","",CONCATENATE("(",INPUT!Q46,")"))</f>
        <v/>
      </c>
      <c r="Q205" s="877" t="str">
        <f>IF(INPUT!R46="","",CONCATENATE("(",INPUT!R46,")"))</f>
        <v/>
      </c>
      <c r="R205" s="877" t="str">
        <f>IF(INPUT!S46="","",CONCATENATE("(",INPUT!S46,")"))</f>
        <v/>
      </c>
      <c r="S205" s="877" t="str">
        <f>IF(INPUT!T46="","",CONCATENATE("(",INPUT!T46,")"))</f>
        <v/>
      </c>
      <c r="T205" s="877" t="str">
        <f>IF(INPUT!U46="","",CONCATENATE("(",INPUT!U46,")"))</f>
        <v/>
      </c>
      <c r="U205" s="877" t="str">
        <f>IF(INPUT!V46="","",CONCATENATE("(",INPUT!V46,")"))</f>
        <v/>
      </c>
      <c r="V205" s="622"/>
    </row>
    <row r="206" spans="1:22" s="312" customFormat="1" ht="12" customHeight="1" x14ac:dyDescent="0.2">
      <c r="A206" s="313" t="s">
        <v>894</v>
      </c>
      <c r="B206" s="399" t="str">
        <f>IF(ISERROR((INPUT!C201-B204)/INPUT!C201),"",(INPUT!C201-B204)/INPUT!C201)</f>
        <v/>
      </c>
      <c r="C206" s="399" t="str">
        <f>IF(ISERROR((INPUT!D201-C204)/INPUT!D201),"",(INPUT!D201-C204)/INPUT!D201)</f>
        <v/>
      </c>
      <c r="D206" s="399" t="str">
        <f>IF(ISERROR((INPUT!E201-D204)/INPUT!E201),"",(INPUT!E201-D204)/INPUT!E201)</f>
        <v/>
      </c>
      <c r="E206" s="399" t="str">
        <f>IF(ISERROR((INPUT!F201-E204)/INPUT!F201),"",(INPUT!F201-E204)/INPUT!F201)</f>
        <v/>
      </c>
      <c r="F206" s="399" t="str">
        <f>IF(ISERROR((INPUT!G201-F204)/INPUT!G201),"",(INPUT!G201-F204)/INPUT!G201)</f>
        <v/>
      </c>
      <c r="G206" s="399" t="str">
        <f>IF(ISERROR((INPUT!H201-G204)/INPUT!H201),"",(INPUT!H201-G204)/INPUT!H201)</f>
        <v/>
      </c>
      <c r="H206" s="399" t="str">
        <f>IF(ISERROR((INPUT!I201-H204)/INPUT!I201),"",(INPUT!I201-H204)/INPUT!I201)</f>
        <v/>
      </c>
      <c r="I206" s="399" t="str">
        <f>IF(ISERROR((INPUT!J201-I204)/INPUT!J201),"",(INPUT!J201-I204)/INPUT!J201)</f>
        <v/>
      </c>
      <c r="J206" s="399" t="str">
        <f>IF(ISERROR((INPUT!K201-J204)/INPUT!K201),"",(INPUT!K201-J204)/INPUT!K201)</f>
        <v/>
      </c>
      <c r="K206" s="399" t="str">
        <f>IF(ISERROR((INPUT!L201-K204)/INPUT!L201),"",(INPUT!L201-K204)/INPUT!L201)</f>
        <v/>
      </c>
      <c r="L206" s="399" t="str">
        <f>IF(ISERROR((INPUT!M201-L204)/INPUT!M201),"",(INPUT!M201-L204)/INPUT!M201)</f>
        <v/>
      </c>
      <c r="M206" s="399" t="str">
        <f>IF(ISERROR((INPUT!N201-M204)/INPUT!N201),"",(INPUT!N201-M204)/INPUT!N201)</f>
        <v/>
      </c>
      <c r="N206" s="399" t="str">
        <f>IF(ISERROR((INPUT!O201-N204)/INPUT!O201),"",(INPUT!O201-N204)/INPUT!O201)</f>
        <v/>
      </c>
      <c r="O206" s="399" t="str">
        <f>IF(ISERROR((INPUT!P201-O204)/INPUT!P201),"",(INPUT!P201-O204)/INPUT!P201)</f>
        <v/>
      </c>
      <c r="P206" s="399" t="str">
        <f>IF(ISERROR((INPUT!Q201-P204)/INPUT!Q201),"",(INPUT!Q201-P204)/INPUT!Q201)</f>
        <v/>
      </c>
      <c r="Q206" s="399" t="str">
        <f>IF(ISERROR((INPUT!R201-Q204)/INPUT!R201),"",(INPUT!R201-Q204)/INPUT!R201)</f>
        <v/>
      </c>
      <c r="R206" s="399" t="str">
        <f>IF(ISERROR((INPUT!S201-R204)/INPUT!S201),"",(INPUT!S201-R204)/INPUT!S201)</f>
        <v/>
      </c>
      <c r="S206" s="399" t="str">
        <f>IF(ISERROR((INPUT!T201-S204)/INPUT!T201),"",(INPUT!T201-S204)/INPUT!T201)</f>
        <v/>
      </c>
      <c r="T206" s="399" t="str">
        <f>IF(ISERROR((INPUT!U201-T204)/INPUT!U201),"",(INPUT!U201-T204)/INPUT!U201)</f>
        <v/>
      </c>
      <c r="U206" s="399" t="str">
        <f>IF(ISERROR((INPUT!V201-U204)/INPUT!V201),"",(INPUT!V201-U204)/INPUT!V201)</f>
        <v/>
      </c>
      <c r="V206" s="622"/>
    </row>
    <row r="207" spans="1:22" s="75" customFormat="1" ht="12" customHeight="1" x14ac:dyDescent="0.2">
      <c r="A207" s="308" t="s">
        <v>890</v>
      </c>
      <c r="B207" s="290" t="str">
        <f>IF(ISERROR(ROUND(B39,2)),"",ROUND(B39,2))</f>
        <v/>
      </c>
      <c r="C207" s="290" t="str">
        <f t="shared" ref="C207:U207" si="94">IF(ISERROR(ROUND(C39,2)),"",ROUND(C39,2))</f>
        <v/>
      </c>
      <c r="D207" s="290">
        <f t="shared" si="94"/>
        <v>9</v>
      </c>
      <c r="E207" s="290">
        <f t="shared" si="94"/>
        <v>1.7</v>
      </c>
      <c r="F207" s="290">
        <f t="shared" si="94"/>
        <v>3.6</v>
      </c>
      <c r="G207" s="290">
        <f t="shared" si="94"/>
        <v>4.6500000000000004</v>
      </c>
      <c r="H207" s="290">
        <f t="shared" si="94"/>
        <v>5.65</v>
      </c>
      <c r="I207" s="290">
        <f t="shared" si="94"/>
        <v>6.35</v>
      </c>
      <c r="J207" s="290">
        <f t="shared" si="94"/>
        <v>7.6</v>
      </c>
      <c r="K207" s="290">
        <f t="shared" si="94"/>
        <v>10.18</v>
      </c>
      <c r="L207" s="290">
        <f t="shared" si="94"/>
        <v>17.940000000000001</v>
      </c>
      <c r="M207" s="290" t="str">
        <f t="shared" si="94"/>
        <v/>
      </c>
      <c r="N207" s="290" t="str">
        <f t="shared" si="94"/>
        <v/>
      </c>
      <c r="O207" s="290" t="str">
        <f t="shared" si="94"/>
        <v/>
      </c>
      <c r="P207" s="290" t="str">
        <f t="shared" si="94"/>
        <v/>
      </c>
      <c r="Q207" s="290" t="str">
        <f t="shared" si="94"/>
        <v/>
      </c>
      <c r="R207" s="290" t="str">
        <f t="shared" si="94"/>
        <v/>
      </c>
      <c r="S207" s="290" t="str">
        <f t="shared" si="94"/>
        <v/>
      </c>
      <c r="T207" s="290" t="str">
        <f t="shared" si="94"/>
        <v/>
      </c>
      <c r="U207" s="290" t="str">
        <f t="shared" si="94"/>
        <v/>
      </c>
      <c r="V207" s="621"/>
    </row>
    <row r="208" spans="1:22" s="75" customFormat="1" ht="12" customHeight="1" x14ac:dyDescent="0.2">
      <c r="A208" s="876" t="s">
        <v>1052</v>
      </c>
      <c r="B208" s="877" t="str">
        <f>IF(INPUT!C42="","",CONCATENATE("(",INPUT!C42,")"))</f>
        <v/>
      </c>
      <c r="C208" s="877" t="str">
        <f>IF(INPUT!D42="","",CONCATENATE("(",INPUT!D42,")"))</f>
        <v/>
      </c>
      <c r="D208" s="877" t="str">
        <f>IF(INPUT!E42="","",CONCATENATE("(",INPUT!E42,")"))</f>
        <v/>
      </c>
      <c r="E208" s="877" t="str">
        <f>IF(INPUT!F42="","",CONCATENATE("(",INPUT!F42,")"))</f>
        <v/>
      </c>
      <c r="F208" s="877" t="str">
        <f>IF(INPUT!G42="","",CONCATENATE("(",INPUT!G42,")"))</f>
        <v/>
      </c>
      <c r="G208" s="877" t="str">
        <f>IF(INPUT!H42="","",CONCATENATE("(",INPUT!H42,")"))</f>
        <v/>
      </c>
      <c r="H208" s="877" t="str">
        <f>IF(INPUT!I42="","",CONCATENATE("(",INPUT!I42,")"))</f>
        <v/>
      </c>
      <c r="I208" s="877" t="str">
        <f>IF(INPUT!J42="","",CONCATENATE("(",INPUT!J42,")"))</f>
        <v/>
      </c>
      <c r="J208" s="877" t="str">
        <f>IF(INPUT!K42="","",CONCATENATE("(",INPUT!K42,")"))</f>
        <v/>
      </c>
      <c r="K208" s="877" t="str">
        <f>IF(INPUT!L42="","",CONCATENATE("(",INPUT!L42,")"))</f>
        <v/>
      </c>
      <c r="L208" s="877" t="str">
        <f>IF(INPUT!M42="","",CONCATENATE("(",INPUT!M42,")"))</f>
        <v/>
      </c>
      <c r="M208" s="877" t="str">
        <f>IF(INPUT!N42="","",CONCATENATE("(",INPUT!N42,")"))</f>
        <v/>
      </c>
      <c r="N208" s="877" t="str">
        <f>IF(INPUT!O42="","",CONCATENATE("(",INPUT!O42,")"))</f>
        <v/>
      </c>
      <c r="O208" s="877" t="str">
        <f>IF(INPUT!P42="","",CONCATENATE("(",INPUT!P42,")"))</f>
        <v/>
      </c>
      <c r="P208" s="877" t="str">
        <f>IF(INPUT!Q42="","",CONCATENATE("(",INPUT!Q42,")"))</f>
        <v/>
      </c>
      <c r="Q208" s="877" t="str">
        <f>IF(INPUT!R42="","",CONCATENATE("(",INPUT!R42,")"))</f>
        <v/>
      </c>
      <c r="R208" s="877" t="str">
        <f>IF(INPUT!S42="","",CONCATENATE("(",INPUT!S42,")"))</f>
        <v/>
      </c>
      <c r="S208" s="877" t="str">
        <f>IF(INPUT!T42="","",CONCATENATE("(",INPUT!T42,")"))</f>
        <v/>
      </c>
      <c r="T208" s="877" t="str">
        <f>IF(INPUT!U42="","",CONCATENATE("(",INPUT!U42,")"))</f>
        <v/>
      </c>
      <c r="U208" s="877" t="str">
        <f>IF(INPUT!V42="","",CONCATENATE("(",INPUT!V42,")"))</f>
        <v/>
      </c>
      <c r="V208" s="621"/>
    </row>
    <row r="209" spans="1:22" s="75" customFormat="1" ht="12" customHeight="1" x14ac:dyDescent="0.2">
      <c r="A209" s="309" t="s">
        <v>894</v>
      </c>
      <c r="B209" s="399" t="str">
        <f>IF(ISERROR(('Ratio New'!B207-INPUT!C202)/INPUT!C202),"",('Ratio New'!B207-INPUT!C202)/INPUT!C202)</f>
        <v/>
      </c>
      <c r="C209" s="399" t="str">
        <f>IF(ISERROR(('Ratio New'!C207-INPUT!D202)/INPUT!D202),"",('Ratio New'!C207-INPUT!D202)/INPUT!D202)</f>
        <v/>
      </c>
      <c r="D209" s="399" t="str">
        <f>IF(ISERROR(('Ratio New'!D207-INPUT!E202)/INPUT!E202),"",('Ratio New'!D207-INPUT!E202)/INPUT!E202)</f>
        <v/>
      </c>
      <c r="E209" s="399" t="str">
        <f>IF(ISERROR(('Ratio New'!E207-INPUT!F202)/INPUT!F202),"",('Ratio New'!E207-INPUT!F202)/INPUT!F202)</f>
        <v/>
      </c>
      <c r="F209" s="399" t="str">
        <f>IF(ISERROR(('Ratio New'!F207-INPUT!G202)/INPUT!G202),"",('Ratio New'!F207-INPUT!G202)/INPUT!G202)</f>
        <v/>
      </c>
      <c r="G209" s="399" t="str">
        <f>IF(ISERROR(('Ratio New'!G207-INPUT!H202)/INPUT!H202),"",('Ratio New'!G207-INPUT!H202)/INPUT!H202)</f>
        <v/>
      </c>
      <c r="H209" s="399" t="str">
        <f>IF(ISERROR(('Ratio New'!H207-INPUT!I202)/INPUT!I202),"",('Ratio New'!H207-INPUT!I202)/INPUT!I202)</f>
        <v/>
      </c>
      <c r="I209" s="399" t="str">
        <f>IF(ISERROR(('Ratio New'!I207-INPUT!J202)/INPUT!J202),"",('Ratio New'!I207-INPUT!J202)/INPUT!J202)</f>
        <v/>
      </c>
      <c r="J209" s="399" t="str">
        <f>IF(ISERROR(('Ratio New'!J207-INPUT!K202)/INPUT!K202),"",('Ratio New'!J207-INPUT!K202)/INPUT!K202)</f>
        <v/>
      </c>
      <c r="K209" s="399" t="str">
        <f>IF(ISERROR(('Ratio New'!K207-INPUT!L202)/INPUT!L202),"",('Ratio New'!K207-INPUT!L202)/INPUT!L202)</f>
        <v/>
      </c>
      <c r="L209" s="399" t="str">
        <f>IF(ISERROR(('Ratio New'!L207-INPUT!M202)/INPUT!M202),"",('Ratio New'!L207-INPUT!M202)/INPUT!M202)</f>
        <v/>
      </c>
      <c r="M209" s="399" t="str">
        <f>IF(ISERROR(('Ratio New'!M207-INPUT!N202)/INPUT!N202),"",('Ratio New'!M207-INPUT!N202)/INPUT!N202)</f>
        <v/>
      </c>
      <c r="N209" s="399" t="str">
        <f>IF(ISERROR(('Ratio New'!N207-INPUT!O202)/INPUT!O202),"",('Ratio New'!N207-INPUT!O202)/INPUT!O202)</f>
        <v/>
      </c>
      <c r="O209" s="399" t="str">
        <f>IF(ISERROR(('Ratio New'!O207-INPUT!P202)/INPUT!P202),"",('Ratio New'!O207-INPUT!P202)/INPUT!P202)</f>
        <v/>
      </c>
      <c r="P209" s="399" t="str">
        <f>IF(ISERROR(('Ratio New'!P207-INPUT!Q202)/INPUT!Q202),"",('Ratio New'!P207-INPUT!Q202)/INPUT!Q202)</f>
        <v/>
      </c>
      <c r="Q209" s="399" t="str">
        <f>IF(ISERROR(('Ratio New'!Q207-INPUT!R202)/INPUT!R202),"",('Ratio New'!Q207-INPUT!R202)/INPUT!R202)</f>
        <v/>
      </c>
      <c r="R209" s="399" t="str">
        <f>IF(ISERROR(('Ratio New'!R207-INPUT!S202)/INPUT!S202),"",('Ratio New'!R207-INPUT!S202)/INPUT!S202)</f>
        <v/>
      </c>
      <c r="S209" s="399" t="str">
        <f>IF(ISERROR(('Ratio New'!S207-INPUT!T202)/INPUT!T202),"",('Ratio New'!S207-INPUT!T202)/INPUT!T202)</f>
        <v/>
      </c>
      <c r="T209" s="399" t="str">
        <f>IF(ISERROR(('Ratio New'!T207-INPUT!U202)/INPUT!U202),"",('Ratio New'!T207-INPUT!U202)/INPUT!U202)</f>
        <v/>
      </c>
      <c r="U209" s="399" t="str">
        <f>IF(ISERROR(('Ratio New'!U207-INPUT!V202)/INPUT!V202),"",('Ratio New'!U207-INPUT!V202)/INPUT!V202)</f>
        <v/>
      </c>
      <c r="V209" s="621"/>
    </row>
    <row r="210" spans="1:22" s="300" customFormat="1" ht="12" customHeight="1" x14ac:dyDescent="0.2">
      <c r="A210" s="400" t="s">
        <v>27</v>
      </c>
      <c r="B210" s="290">
        <f>B233</f>
        <v>46.43</v>
      </c>
      <c r="C210" s="290">
        <f t="shared" ref="C210:U210" si="95">C233</f>
        <v>34.090000000000003</v>
      </c>
      <c r="D210" s="290">
        <f t="shared" si="95"/>
        <v>9.2799999999999994</v>
      </c>
      <c r="E210" s="290">
        <f t="shared" si="95"/>
        <v>5.25</v>
      </c>
      <c r="F210" s="290">
        <f t="shared" si="95"/>
        <v>12.23</v>
      </c>
      <c r="G210" s="290">
        <f t="shared" si="95"/>
        <v>19.420000000000002</v>
      </c>
      <c r="H210" s="290">
        <f t="shared" si="95"/>
        <v>19.559999999999999</v>
      </c>
      <c r="I210" s="290">
        <f t="shared" si="95"/>
        <v>19.38</v>
      </c>
      <c r="J210" s="290">
        <f t="shared" si="95"/>
        <v>19.100000000000001</v>
      </c>
      <c r="K210" s="290">
        <f t="shared" si="95"/>
        <v>19.04</v>
      </c>
      <c r="L210" s="290">
        <f t="shared" si="95"/>
        <v>19.7</v>
      </c>
      <c r="M210" s="290" t="str">
        <f t="shared" si="95"/>
        <v/>
      </c>
      <c r="N210" s="290" t="str">
        <f t="shared" si="95"/>
        <v/>
      </c>
      <c r="O210" s="290" t="str">
        <f t="shared" si="95"/>
        <v/>
      </c>
      <c r="P210" s="290" t="str">
        <f t="shared" si="95"/>
        <v/>
      </c>
      <c r="Q210" s="290" t="str">
        <f t="shared" si="95"/>
        <v/>
      </c>
      <c r="R210" s="290" t="str">
        <f t="shared" si="95"/>
        <v/>
      </c>
      <c r="S210" s="290" t="str">
        <f t="shared" si="95"/>
        <v/>
      </c>
      <c r="T210" s="290" t="str">
        <f t="shared" si="95"/>
        <v/>
      </c>
      <c r="U210" s="290" t="str">
        <f t="shared" si="95"/>
        <v/>
      </c>
      <c r="V210" s="625"/>
    </row>
    <row r="211" spans="1:22" s="300" customFormat="1" ht="12" customHeight="1" x14ac:dyDescent="0.2">
      <c r="A211" s="876" t="s">
        <v>1052</v>
      </c>
      <c r="B211" s="877" t="str">
        <f>IF(INPUT!C63="","",CONCATENATE("(",INPUT!C63,")"))</f>
        <v/>
      </c>
      <c r="C211" s="877" t="str">
        <f>IF(INPUT!D63="","",CONCATENATE("(",INPUT!D63,")"))</f>
        <v/>
      </c>
      <c r="D211" s="877" t="str">
        <f>IF(INPUT!E63="","",CONCATENATE("(",INPUT!E63,")"))</f>
        <v/>
      </c>
      <c r="E211" s="877" t="str">
        <f>IF(INPUT!F63="","",CONCATENATE("(",INPUT!F63,")"))</f>
        <v/>
      </c>
      <c r="F211" s="877" t="str">
        <f>IF(INPUT!G63="","",CONCATENATE("(",INPUT!G63,")"))</f>
        <v/>
      </c>
      <c r="G211" s="877" t="str">
        <f>IF(INPUT!H63="","",CONCATENATE("(",INPUT!H63,")"))</f>
        <v/>
      </c>
      <c r="H211" s="877" t="str">
        <f>IF(INPUT!I63="","",CONCATENATE("(",INPUT!I63,")"))</f>
        <v/>
      </c>
      <c r="I211" s="877" t="str">
        <f>IF(INPUT!J63="","",CONCATENATE("(",INPUT!J63,")"))</f>
        <v/>
      </c>
      <c r="J211" s="877" t="str">
        <f>IF(INPUT!K63="","",CONCATENATE("(",INPUT!K63,")"))</f>
        <v/>
      </c>
      <c r="K211" s="877" t="str">
        <f>IF(INPUT!L63="","",CONCATENATE("(",INPUT!L63,")"))</f>
        <v/>
      </c>
      <c r="L211" s="877" t="str">
        <f>IF(INPUT!M63="","",CONCATENATE("(",INPUT!M63,")"))</f>
        <v/>
      </c>
      <c r="M211" s="877" t="str">
        <f>IF(INPUT!N63="","",CONCATENATE("(",INPUT!N63,")"))</f>
        <v/>
      </c>
      <c r="N211" s="877" t="str">
        <f>IF(INPUT!O63="","",CONCATENATE("(",INPUT!O63,")"))</f>
        <v/>
      </c>
      <c r="O211" s="877" t="str">
        <f>IF(INPUT!P63="","",CONCATENATE("(",INPUT!P63,")"))</f>
        <v/>
      </c>
      <c r="P211" s="877" t="str">
        <f>IF(INPUT!Q63="","",CONCATENATE("(",INPUT!Q63,")"))</f>
        <v/>
      </c>
      <c r="Q211" s="877" t="str">
        <f>IF(INPUT!R63="","",CONCATENATE("(",INPUT!R63,")"))</f>
        <v/>
      </c>
      <c r="R211" s="877" t="str">
        <f>IF(INPUT!S63="","",CONCATENATE("(",INPUT!S63,")"))</f>
        <v/>
      </c>
      <c r="S211" s="877" t="str">
        <f>IF(INPUT!T63="","",CONCATENATE("(",INPUT!T63,")"))</f>
        <v/>
      </c>
      <c r="T211" s="877" t="str">
        <f>IF(INPUT!U63="","",CONCATENATE("(",INPUT!U63,")"))</f>
        <v/>
      </c>
      <c r="U211" s="877" t="str">
        <f>IF(INPUT!V63="","",CONCATENATE("(",INPUT!V63,")"))</f>
        <v/>
      </c>
      <c r="V211" s="625"/>
    </row>
    <row r="212" spans="1:22" s="75" customFormat="1" ht="12" customHeight="1" x14ac:dyDescent="0.2">
      <c r="A212" s="309" t="s">
        <v>894</v>
      </c>
      <c r="B212" s="399" t="str">
        <f>IF(ISERROR(('Ratio New'!B210-INPUT!C203)/INPUT!C203),"",('Ratio New'!B210-INPUT!C203)/INPUT!C203)</f>
        <v/>
      </c>
      <c r="C212" s="399" t="str">
        <f>IF(ISERROR(('Ratio New'!C210-INPUT!D203)/INPUT!D203),"",('Ratio New'!C210-INPUT!D203)/INPUT!D203)</f>
        <v/>
      </c>
      <c r="D212" s="399" t="str">
        <f>IF(ISERROR(('Ratio New'!D210-INPUT!E203)/INPUT!E203),"",('Ratio New'!D210-INPUT!E203)/INPUT!E203)</f>
        <v/>
      </c>
      <c r="E212" s="399" t="str">
        <f>IF(ISERROR(('Ratio New'!E210-INPUT!F203)/INPUT!F203),"",('Ratio New'!E210-INPUT!F203)/INPUT!F203)</f>
        <v/>
      </c>
      <c r="F212" s="399" t="str">
        <f>IF(ISERROR(('Ratio New'!F210-INPUT!G203)/INPUT!G203),"",('Ratio New'!F210-INPUT!G203)/INPUT!G203)</f>
        <v/>
      </c>
      <c r="G212" s="399" t="str">
        <f>IF(ISERROR(('Ratio New'!G210-INPUT!H203)/INPUT!H203),"",('Ratio New'!G210-INPUT!H203)/INPUT!H203)</f>
        <v/>
      </c>
      <c r="H212" s="399" t="str">
        <f>IF(ISERROR(('Ratio New'!H210-INPUT!I203)/INPUT!I203),"",('Ratio New'!H210-INPUT!I203)/INPUT!I203)</f>
        <v/>
      </c>
      <c r="I212" s="399" t="str">
        <f>IF(ISERROR(('Ratio New'!I210-INPUT!J203)/INPUT!J203),"",('Ratio New'!I210-INPUT!J203)/INPUT!J203)</f>
        <v/>
      </c>
      <c r="J212" s="399" t="str">
        <f>IF(ISERROR(('Ratio New'!J210-INPUT!K203)/INPUT!K203),"",('Ratio New'!J210-INPUT!K203)/INPUT!K203)</f>
        <v/>
      </c>
      <c r="K212" s="399" t="str">
        <f>IF(ISERROR(('Ratio New'!K210-INPUT!L203)/INPUT!L203),"",('Ratio New'!K210-INPUT!L203)/INPUT!L203)</f>
        <v/>
      </c>
      <c r="L212" s="399" t="str">
        <f>IF(ISERROR(('Ratio New'!L210-INPUT!M203)/INPUT!M203),"",('Ratio New'!L210-INPUT!M203)/INPUT!M203)</f>
        <v/>
      </c>
      <c r="M212" s="399" t="str">
        <f>IF(ISERROR(('Ratio New'!M210-INPUT!N203)/INPUT!N203),"",('Ratio New'!M210-INPUT!N203)/INPUT!N203)</f>
        <v/>
      </c>
      <c r="N212" s="399" t="str">
        <f>IF(ISERROR(('Ratio New'!N210-INPUT!O203)/INPUT!O203),"",('Ratio New'!N210-INPUT!O203)/INPUT!O203)</f>
        <v/>
      </c>
      <c r="O212" s="399" t="str">
        <f>IF(ISERROR(('Ratio New'!O210-INPUT!P203)/INPUT!P203),"",('Ratio New'!O210-INPUT!P203)/INPUT!P203)</f>
        <v/>
      </c>
      <c r="P212" s="399" t="str">
        <f>IF(ISERROR(('Ratio New'!P210-INPUT!Q203)/INPUT!Q203),"",('Ratio New'!P210-INPUT!Q203)/INPUT!Q203)</f>
        <v/>
      </c>
      <c r="Q212" s="399" t="str">
        <f>IF(ISERROR(('Ratio New'!Q210-INPUT!R203)/INPUT!R203),"",('Ratio New'!Q210-INPUT!R203)/INPUT!R203)</f>
        <v/>
      </c>
      <c r="R212" s="399" t="str">
        <f>IF(ISERROR(('Ratio New'!R210-INPUT!S203)/INPUT!S203),"",('Ratio New'!R210-INPUT!S203)/INPUT!S203)</f>
        <v/>
      </c>
      <c r="S212" s="399" t="str">
        <f>IF(ISERROR(('Ratio New'!S210-INPUT!T203)/INPUT!T203),"",('Ratio New'!S210-INPUT!T203)/INPUT!T203)</f>
        <v/>
      </c>
      <c r="T212" s="399" t="str">
        <f>IF(ISERROR(('Ratio New'!T210-INPUT!U203)/INPUT!U203),"",('Ratio New'!T210-INPUT!U203)/INPUT!U203)</f>
        <v/>
      </c>
      <c r="U212" s="399" t="str">
        <f>IF(ISERROR(('Ratio New'!U210-INPUT!V203)/INPUT!V203),"",('Ratio New'!U210-INPUT!V203)/INPUT!V203)</f>
        <v/>
      </c>
      <c r="V212" s="621"/>
    </row>
    <row r="213" spans="1:22" s="75" customFormat="1" ht="12" customHeight="1" x14ac:dyDescent="0.2">
      <c r="A213" s="308" t="s">
        <v>891</v>
      </c>
      <c r="B213" s="290" t="str">
        <f>IF(ISERROR(ROUND(B55,2)),"",ROUND(B55,2))</f>
        <v/>
      </c>
      <c r="C213" s="290" t="str">
        <f t="shared" ref="C213:U213" si="96">IF(ISERROR(ROUND(C55,2)),"",ROUND(C55,2))</f>
        <v/>
      </c>
      <c r="D213" s="290" t="str">
        <f t="shared" si="96"/>
        <v/>
      </c>
      <c r="E213" s="290" t="str">
        <f t="shared" si="96"/>
        <v/>
      </c>
      <c r="F213" s="290" t="str">
        <f t="shared" si="96"/>
        <v/>
      </c>
      <c r="G213" s="290">
        <f t="shared" si="96"/>
        <v>2.1800000000000002</v>
      </c>
      <c r="H213" s="290">
        <f t="shared" si="96"/>
        <v>2.0499999999999998</v>
      </c>
      <c r="I213" s="290">
        <f t="shared" si="96"/>
        <v>1.78</v>
      </c>
      <c r="J213" s="290">
        <f t="shared" si="96"/>
        <v>1.56</v>
      </c>
      <c r="K213" s="290">
        <f t="shared" si="96"/>
        <v>1.46</v>
      </c>
      <c r="L213" s="290">
        <f t="shared" si="96"/>
        <v>1.25</v>
      </c>
      <c r="M213" s="290" t="str">
        <f t="shared" si="96"/>
        <v/>
      </c>
      <c r="N213" s="290" t="str">
        <f t="shared" si="96"/>
        <v/>
      </c>
      <c r="O213" s="290" t="str">
        <f t="shared" si="96"/>
        <v/>
      </c>
      <c r="P213" s="290" t="str">
        <f t="shared" si="96"/>
        <v/>
      </c>
      <c r="Q213" s="290" t="str">
        <f t="shared" si="96"/>
        <v/>
      </c>
      <c r="R213" s="290" t="str">
        <f t="shared" si="96"/>
        <v/>
      </c>
      <c r="S213" s="290" t="str">
        <f t="shared" si="96"/>
        <v/>
      </c>
      <c r="T213" s="290" t="str">
        <f t="shared" si="96"/>
        <v/>
      </c>
      <c r="U213" s="290" t="str">
        <f t="shared" si="96"/>
        <v/>
      </c>
      <c r="V213" s="621"/>
    </row>
    <row r="214" spans="1:22" s="75" customFormat="1" ht="12" customHeight="1" x14ac:dyDescent="0.2">
      <c r="A214" s="876" t="s">
        <v>1052</v>
      </c>
      <c r="B214" s="877" t="str">
        <f>IF(INPUT!C50="","",CONCATENATE("(",INPUT!C50,")"))</f>
        <v/>
      </c>
      <c r="C214" s="877" t="str">
        <f>IF(INPUT!D50="","",CONCATENATE("(",INPUT!D50,")"))</f>
        <v/>
      </c>
      <c r="D214" s="877" t="str">
        <f>IF(INPUT!E50="","",CONCATENATE("(",INPUT!E50,")"))</f>
        <v/>
      </c>
      <c r="E214" s="877" t="str">
        <f>IF(INPUT!F50="","",CONCATENATE("(",INPUT!F50,")"))</f>
        <v/>
      </c>
      <c r="F214" s="877" t="str">
        <f>IF(INPUT!G50="","",CONCATENATE("(",INPUT!G50,")"))</f>
        <v/>
      </c>
      <c r="G214" s="877" t="str">
        <f>IF(INPUT!H50="","",CONCATENATE("(",INPUT!H50,")"))</f>
        <v/>
      </c>
      <c r="H214" s="877" t="str">
        <f>IF(INPUT!I50="","",CONCATENATE("(",INPUT!I50,")"))</f>
        <v/>
      </c>
      <c r="I214" s="877" t="str">
        <f>IF(INPUT!J50="","",CONCATENATE("(",INPUT!J50,")"))</f>
        <v/>
      </c>
      <c r="J214" s="877" t="str">
        <f>IF(INPUT!K50="","",CONCATENATE("(",INPUT!K50,")"))</f>
        <v/>
      </c>
      <c r="K214" s="877" t="str">
        <f>IF(INPUT!L50="","",CONCATENATE("(",INPUT!L50,")"))</f>
        <v/>
      </c>
      <c r="L214" s="877" t="str">
        <f>IF(INPUT!M50="","",CONCATENATE("(",INPUT!M50,")"))</f>
        <v/>
      </c>
      <c r="M214" s="877" t="str">
        <f>IF(INPUT!N50="","",CONCATENATE("(",INPUT!N50,")"))</f>
        <v/>
      </c>
      <c r="N214" s="877" t="str">
        <f>IF(INPUT!O50="","",CONCATENATE("(",INPUT!O50,")"))</f>
        <v/>
      </c>
      <c r="O214" s="877" t="str">
        <f>IF(INPUT!P50="","",CONCATENATE("(",INPUT!P50,")"))</f>
        <v/>
      </c>
      <c r="P214" s="877" t="str">
        <f>IF(INPUT!Q50="","",CONCATENATE("(",INPUT!Q50,")"))</f>
        <v/>
      </c>
      <c r="Q214" s="877" t="str">
        <f>IF(INPUT!R50="","",CONCATENATE("(",INPUT!R50,")"))</f>
        <v/>
      </c>
      <c r="R214" s="877" t="str">
        <f>IF(INPUT!S50="","",CONCATENATE("(",INPUT!S50,")"))</f>
        <v/>
      </c>
      <c r="S214" s="877" t="str">
        <f>IF(INPUT!T50="","",CONCATENATE("(",INPUT!T50,")"))</f>
        <v/>
      </c>
      <c r="T214" s="877" t="str">
        <f>IF(INPUT!U50="","",CONCATENATE("(",INPUT!U50,")"))</f>
        <v/>
      </c>
      <c r="U214" s="877" t="str">
        <f>IF(INPUT!V50="","",CONCATENATE("(",INPUT!V50,")"))</f>
        <v/>
      </c>
      <c r="V214" s="621"/>
    </row>
    <row r="215" spans="1:22" s="75" customFormat="1" ht="12" customHeight="1" x14ac:dyDescent="0.2">
      <c r="A215" s="309" t="s">
        <v>894</v>
      </c>
      <c r="B215" s="399" t="str">
        <f>IF(ISERROR(('Ratio New'!B213-INPUT!C204)/INPUT!C204),"",('Ratio New'!B213-INPUT!C204)/INPUT!C204)</f>
        <v/>
      </c>
      <c r="C215" s="399" t="str">
        <f>IF(ISERROR(('Ratio New'!C213-INPUT!D204)/INPUT!D204),"",('Ratio New'!C213-INPUT!D204)/INPUT!D204)</f>
        <v/>
      </c>
      <c r="D215" s="399" t="str">
        <f>IF(ISERROR(('Ratio New'!D213-INPUT!E204)/INPUT!E204),"",('Ratio New'!D213-INPUT!E204)/INPUT!E204)</f>
        <v/>
      </c>
      <c r="E215" s="399" t="str">
        <f>IF(ISERROR(('Ratio New'!E213-INPUT!F204)/INPUT!F204),"",('Ratio New'!E213-INPUT!F204)/INPUT!F204)</f>
        <v/>
      </c>
      <c r="F215" s="399" t="str">
        <f>IF(ISERROR(('Ratio New'!F213-INPUT!G204)/INPUT!G204),"",('Ratio New'!F213-INPUT!G204)/INPUT!G204)</f>
        <v/>
      </c>
      <c r="G215" s="399" t="str">
        <f>IF(ISERROR(('Ratio New'!G213-INPUT!H204)/INPUT!H204),"",('Ratio New'!G213-INPUT!H204)/INPUT!H204)</f>
        <v/>
      </c>
      <c r="H215" s="399" t="str">
        <f>IF(ISERROR(('Ratio New'!H213-INPUT!I204)/INPUT!I204),"",('Ratio New'!H213-INPUT!I204)/INPUT!I204)</f>
        <v/>
      </c>
      <c r="I215" s="399" t="str">
        <f>IF(ISERROR(('Ratio New'!I213-INPUT!J204)/INPUT!J204),"",('Ratio New'!I213-INPUT!J204)/INPUT!J204)</f>
        <v/>
      </c>
      <c r="J215" s="399" t="str">
        <f>IF(ISERROR(('Ratio New'!J213-INPUT!K204)/INPUT!K204),"",('Ratio New'!J213-INPUT!K204)/INPUT!K204)</f>
        <v/>
      </c>
      <c r="K215" s="399" t="str">
        <f>IF(ISERROR(('Ratio New'!K213-INPUT!L204)/INPUT!L204),"",('Ratio New'!K213-INPUT!L204)/INPUT!L204)</f>
        <v/>
      </c>
      <c r="L215" s="399" t="str">
        <f>IF(ISERROR(('Ratio New'!L213-INPUT!M204)/INPUT!M204),"",('Ratio New'!L213-INPUT!M204)/INPUT!M204)</f>
        <v/>
      </c>
      <c r="M215" s="399" t="str">
        <f>IF(ISERROR(('Ratio New'!M213-INPUT!N204)/INPUT!N204),"",('Ratio New'!M213-INPUT!N204)/INPUT!N204)</f>
        <v/>
      </c>
      <c r="N215" s="399" t="str">
        <f>IF(ISERROR(('Ratio New'!N213-INPUT!O204)/INPUT!O204),"",('Ratio New'!N213-INPUT!O204)/INPUT!O204)</f>
        <v/>
      </c>
      <c r="O215" s="399" t="str">
        <f>IF(ISERROR(('Ratio New'!O213-INPUT!P204)/INPUT!P204),"",('Ratio New'!O213-INPUT!P204)/INPUT!P204)</f>
        <v/>
      </c>
      <c r="P215" s="399" t="str">
        <f>IF(ISERROR(('Ratio New'!P213-INPUT!Q204)/INPUT!Q204),"",('Ratio New'!P213-INPUT!Q204)/INPUT!Q204)</f>
        <v/>
      </c>
      <c r="Q215" s="399" t="str">
        <f>IF(ISERROR(('Ratio New'!Q213-INPUT!R204)/INPUT!R204),"",('Ratio New'!Q213-INPUT!R204)/INPUT!R204)</f>
        <v/>
      </c>
      <c r="R215" s="399" t="str">
        <f>IF(ISERROR(('Ratio New'!R213-INPUT!S204)/INPUT!S204),"",('Ratio New'!R213-INPUT!S204)/INPUT!S204)</f>
        <v/>
      </c>
      <c r="S215" s="399" t="str">
        <f>IF(ISERROR(('Ratio New'!S213-INPUT!T204)/INPUT!T204),"",('Ratio New'!S213-INPUT!T204)/INPUT!T204)</f>
        <v/>
      </c>
      <c r="T215" s="399" t="str">
        <f>IF(ISERROR(('Ratio New'!T213-INPUT!U204)/INPUT!U204),"",('Ratio New'!T213-INPUT!U204)/INPUT!U204)</f>
        <v/>
      </c>
      <c r="U215" s="399" t="str">
        <f>IF(ISERROR(('Ratio New'!U213-INPUT!V204)/INPUT!V204),"",('Ratio New'!U213-INPUT!V204)/INPUT!V204)</f>
        <v/>
      </c>
      <c r="V215" s="621"/>
    </row>
    <row r="216" spans="1:22" ht="12.75" customHeight="1" x14ac:dyDescent="0.2">
      <c r="A216" s="628" t="s">
        <v>1058</v>
      </c>
      <c r="B216" s="610"/>
      <c r="C216" s="610"/>
      <c r="D216" s="610"/>
      <c r="E216" s="610"/>
      <c r="F216" s="610"/>
      <c r="G216" s="610"/>
      <c r="H216" s="610"/>
      <c r="I216" s="610"/>
      <c r="J216" s="610"/>
      <c r="K216" s="610"/>
      <c r="L216" s="610"/>
      <c r="M216" s="610"/>
      <c r="N216" s="610"/>
      <c r="O216" s="610"/>
      <c r="P216" s="610"/>
      <c r="Q216" s="610"/>
      <c r="R216" s="610"/>
      <c r="S216" s="610"/>
      <c r="T216" s="610"/>
      <c r="U216" s="610"/>
      <c r="V216" s="612"/>
    </row>
    <row r="217" spans="1:22" ht="12.75" customHeight="1" x14ac:dyDescent="0.2">
      <c r="A217" s="623" t="s">
        <v>936</v>
      </c>
      <c r="B217" s="610"/>
      <c r="C217" s="610"/>
      <c r="D217" s="610"/>
      <c r="E217" s="610"/>
      <c r="F217" s="610"/>
      <c r="G217" s="610"/>
      <c r="H217" s="610"/>
      <c r="I217" s="610"/>
      <c r="J217" s="610"/>
      <c r="K217" s="610"/>
      <c r="L217" s="610"/>
      <c r="M217" s="610"/>
      <c r="N217" s="610"/>
      <c r="O217" s="610"/>
      <c r="P217" s="610"/>
      <c r="Q217" s="610"/>
      <c r="R217" s="610"/>
      <c r="S217" s="610"/>
      <c r="T217" s="610"/>
      <c r="U217" s="610"/>
      <c r="V217" s="612"/>
    </row>
    <row r="218" spans="1:22" ht="24" customHeight="1" x14ac:dyDescent="0.25">
      <c r="A218" s="620" t="s">
        <v>432</v>
      </c>
      <c r="B218" s="610"/>
      <c r="C218" s="610"/>
      <c r="D218" s="610"/>
      <c r="E218" s="610"/>
      <c r="F218" s="610"/>
      <c r="G218" s="610"/>
      <c r="H218" s="610"/>
      <c r="I218" s="610"/>
      <c r="J218" s="610"/>
      <c r="K218" s="610"/>
      <c r="L218" s="610"/>
      <c r="M218" s="610"/>
      <c r="N218" s="610"/>
      <c r="O218" s="610"/>
      <c r="P218" s="610"/>
      <c r="Q218" s="610"/>
      <c r="R218" s="610"/>
      <c r="S218" s="610"/>
      <c r="T218" s="610"/>
      <c r="U218" s="610"/>
      <c r="V218" s="612"/>
    </row>
    <row r="219" spans="1:22" ht="15" x14ac:dyDescent="0.25">
      <c r="A219" s="260"/>
      <c r="B219" s="261">
        <f>B3</f>
        <v>2020</v>
      </c>
      <c r="C219" s="261">
        <f t="shared" ref="C219:O219" si="97">C3</f>
        <v>2021</v>
      </c>
      <c r="D219" s="261">
        <f t="shared" si="97"/>
        <v>2022</v>
      </c>
      <c r="E219" s="261">
        <f t="shared" si="97"/>
        <v>2023</v>
      </c>
      <c r="F219" s="261">
        <f t="shared" si="97"/>
        <v>2024</v>
      </c>
      <c r="G219" s="261">
        <f t="shared" si="97"/>
        <v>2025</v>
      </c>
      <c r="H219" s="261">
        <f t="shared" si="97"/>
        <v>2026</v>
      </c>
      <c r="I219" s="261">
        <f t="shared" si="97"/>
        <v>2027</v>
      </c>
      <c r="J219" s="261">
        <f t="shared" si="97"/>
        <v>2028</v>
      </c>
      <c r="K219" s="261">
        <f t="shared" si="97"/>
        <v>2029</v>
      </c>
      <c r="L219" s="261">
        <f t="shared" si="97"/>
        <v>2030</v>
      </c>
      <c r="M219" s="261">
        <f t="shared" si="97"/>
        <v>2031</v>
      </c>
      <c r="N219" s="261">
        <f t="shared" si="97"/>
        <v>2032</v>
      </c>
      <c r="O219" s="261">
        <f t="shared" si="97"/>
        <v>2033</v>
      </c>
      <c r="P219" s="261">
        <f t="shared" ref="P219:U219" si="98">P3</f>
        <v>2034</v>
      </c>
      <c r="Q219" s="261">
        <f t="shared" si="98"/>
        <v>2035</v>
      </c>
      <c r="R219" s="261">
        <f t="shared" si="98"/>
        <v>2036</v>
      </c>
      <c r="S219" s="261">
        <f t="shared" si="98"/>
        <v>2037</v>
      </c>
      <c r="T219" s="261">
        <f t="shared" si="98"/>
        <v>2038</v>
      </c>
      <c r="U219" s="261">
        <f t="shared" si="98"/>
        <v>2039</v>
      </c>
      <c r="V219" s="612"/>
    </row>
    <row r="220" spans="1:22" ht="15" x14ac:dyDescent="0.25">
      <c r="A220" s="260"/>
      <c r="B220" s="261" t="str">
        <f>B190</f>
        <v>AUD.</v>
      </c>
      <c r="C220" s="261" t="str">
        <f t="shared" ref="C220:O220" si="99">C190</f>
        <v>AUD.</v>
      </c>
      <c r="D220" s="261" t="str">
        <f t="shared" si="99"/>
        <v>AUD.</v>
      </c>
      <c r="E220" s="261" t="str">
        <f t="shared" si="99"/>
        <v>EST.</v>
      </c>
      <c r="F220" s="261" t="str">
        <f t="shared" si="99"/>
        <v>PROJ.</v>
      </c>
      <c r="G220" s="261" t="str">
        <f t="shared" si="99"/>
        <v>PROJ.</v>
      </c>
      <c r="H220" s="261" t="str">
        <f t="shared" si="99"/>
        <v>PROJ.</v>
      </c>
      <c r="I220" s="261" t="str">
        <f t="shared" si="99"/>
        <v>PROJ.</v>
      </c>
      <c r="J220" s="261" t="str">
        <f t="shared" si="99"/>
        <v>PROJ.</v>
      </c>
      <c r="K220" s="261" t="str">
        <f t="shared" si="99"/>
        <v>PROJ.</v>
      </c>
      <c r="L220" s="261" t="str">
        <f t="shared" si="99"/>
        <v>PROJ.</v>
      </c>
      <c r="M220" s="261" t="str">
        <f t="shared" si="99"/>
        <v>PROJ.</v>
      </c>
      <c r="N220" s="261" t="str">
        <f t="shared" si="99"/>
        <v>PROJ.</v>
      </c>
      <c r="O220" s="261" t="str">
        <f t="shared" si="99"/>
        <v>PROJ.</v>
      </c>
      <c r="P220" s="261" t="str">
        <f t="shared" ref="P220:U220" si="100">P190</f>
        <v>PROJ.</v>
      </c>
      <c r="Q220" s="261" t="str">
        <f t="shared" si="100"/>
        <v>PROJ.</v>
      </c>
      <c r="R220" s="261" t="str">
        <f t="shared" si="100"/>
        <v>PROJ.</v>
      </c>
      <c r="S220" s="261" t="str">
        <f t="shared" si="100"/>
        <v>PROJ.</v>
      </c>
      <c r="T220" s="261" t="str">
        <f t="shared" si="100"/>
        <v>PROJ.</v>
      </c>
      <c r="U220" s="261" t="str">
        <f t="shared" si="100"/>
        <v>PROJ.</v>
      </c>
      <c r="V220" s="612"/>
    </row>
    <row r="221" spans="1:22" x14ac:dyDescent="0.2">
      <c r="A221" s="262" t="s">
        <v>20</v>
      </c>
      <c r="B221" s="256">
        <f>B231</f>
        <v>2.5</v>
      </c>
      <c r="C221" s="256">
        <f t="shared" ref="C221:U221" si="101">C231</f>
        <v>1.59</v>
      </c>
      <c r="D221" s="256">
        <f t="shared" si="101"/>
        <v>10.02</v>
      </c>
      <c r="E221" s="256">
        <f t="shared" si="101"/>
        <v>0.77</v>
      </c>
      <c r="F221" s="256">
        <f t="shared" si="101"/>
        <v>1.38</v>
      </c>
      <c r="G221" s="256">
        <f t="shared" si="101"/>
        <v>1.2</v>
      </c>
      <c r="H221" s="256">
        <f t="shared" si="101"/>
        <v>0.97</v>
      </c>
      <c r="I221" s="256">
        <f t="shared" si="101"/>
        <v>0.72</v>
      </c>
      <c r="J221" s="256">
        <f t="shared" si="101"/>
        <v>0.51</v>
      </c>
      <c r="K221" s="256">
        <f t="shared" si="101"/>
        <v>0.33</v>
      </c>
      <c r="L221" s="256">
        <f t="shared" si="101"/>
        <v>0.15</v>
      </c>
      <c r="M221" s="256" t="str">
        <f t="shared" si="101"/>
        <v/>
      </c>
      <c r="N221" s="256" t="str">
        <f t="shared" si="101"/>
        <v/>
      </c>
      <c r="O221" s="256" t="str">
        <f t="shared" si="101"/>
        <v/>
      </c>
      <c r="P221" s="256" t="str">
        <f t="shared" si="101"/>
        <v/>
      </c>
      <c r="Q221" s="256" t="str">
        <f t="shared" si="101"/>
        <v/>
      </c>
      <c r="R221" s="256" t="str">
        <f t="shared" si="101"/>
        <v/>
      </c>
      <c r="S221" s="256" t="str">
        <f t="shared" si="101"/>
        <v/>
      </c>
      <c r="T221" s="256" t="str">
        <f t="shared" si="101"/>
        <v/>
      </c>
      <c r="U221" s="256" t="str">
        <f t="shared" si="101"/>
        <v/>
      </c>
      <c r="V221" s="612"/>
    </row>
    <row r="222" spans="1:22" x14ac:dyDescent="0.2">
      <c r="A222" s="262" t="s">
        <v>323</v>
      </c>
      <c r="B222" s="256">
        <f>B232</f>
        <v>1.31</v>
      </c>
      <c r="C222" s="256">
        <f t="shared" ref="C222:U222" si="102">C232</f>
        <v>2.4700000000000002</v>
      </c>
      <c r="D222" s="256">
        <f t="shared" si="102"/>
        <v>0.55000000000000004</v>
      </c>
      <c r="E222" s="256">
        <f t="shared" si="102"/>
        <v>0.64</v>
      </c>
      <c r="F222" s="256">
        <f t="shared" si="102"/>
        <v>1.37</v>
      </c>
      <c r="G222" s="256">
        <f t="shared" si="102"/>
        <v>1.71</v>
      </c>
      <c r="H222" s="256">
        <f t="shared" si="102"/>
        <v>1.97</v>
      </c>
      <c r="I222" s="256">
        <f t="shared" si="102"/>
        <v>2.2400000000000002</v>
      </c>
      <c r="J222" s="256">
        <f t="shared" si="102"/>
        <v>2.4300000000000002</v>
      </c>
      <c r="K222" s="256">
        <f t="shared" si="102"/>
        <v>2.4300000000000002</v>
      </c>
      <c r="L222" s="256">
        <f t="shared" si="102"/>
        <v>4.78</v>
      </c>
      <c r="M222" s="256" t="str">
        <f t="shared" si="102"/>
        <v/>
      </c>
      <c r="N222" s="256" t="str">
        <f t="shared" si="102"/>
        <v/>
      </c>
      <c r="O222" s="256" t="str">
        <f t="shared" si="102"/>
        <v/>
      </c>
      <c r="P222" s="256" t="str">
        <f t="shared" si="102"/>
        <v/>
      </c>
      <c r="Q222" s="256" t="str">
        <f t="shared" si="102"/>
        <v/>
      </c>
      <c r="R222" s="256" t="str">
        <f t="shared" si="102"/>
        <v/>
      </c>
      <c r="S222" s="256" t="str">
        <f t="shared" si="102"/>
        <v/>
      </c>
      <c r="T222" s="256" t="str">
        <f t="shared" si="102"/>
        <v/>
      </c>
      <c r="U222" s="256" t="str">
        <f t="shared" si="102"/>
        <v/>
      </c>
      <c r="V222" s="612"/>
    </row>
    <row r="223" spans="1:22" x14ac:dyDescent="0.2">
      <c r="A223" s="262" t="s">
        <v>438</v>
      </c>
      <c r="B223" s="256">
        <f>B233</f>
        <v>46.43</v>
      </c>
      <c r="C223" s="256">
        <f t="shared" ref="C223:U223" si="103">C233</f>
        <v>34.090000000000003</v>
      </c>
      <c r="D223" s="256">
        <f t="shared" si="103"/>
        <v>9.2799999999999994</v>
      </c>
      <c r="E223" s="256">
        <f t="shared" si="103"/>
        <v>5.25</v>
      </c>
      <c r="F223" s="256">
        <f t="shared" si="103"/>
        <v>12.23</v>
      </c>
      <c r="G223" s="256">
        <f t="shared" si="103"/>
        <v>19.420000000000002</v>
      </c>
      <c r="H223" s="256">
        <f t="shared" si="103"/>
        <v>19.559999999999999</v>
      </c>
      <c r="I223" s="256">
        <f t="shared" si="103"/>
        <v>19.38</v>
      </c>
      <c r="J223" s="256">
        <f t="shared" si="103"/>
        <v>19.100000000000001</v>
      </c>
      <c r="K223" s="256">
        <f t="shared" si="103"/>
        <v>19.04</v>
      </c>
      <c r="L223" s="256">
        <f t="shared" si="103"/>
        <v>19.7</v>
      </c>
      <c r="M223" s="256" t="str">
        <f t="shared" si="103"/>
        <v/>
      </c>
      <c r="N223" s="256" t="str">
        <f t="shared" si="103"/>
        <v/>
      </c>
      <c r="O223" s="256" t="str">
        <f t="shared" si="103"/>
        <v/>
      </c>
      <c r="P223" s="256" t="str">
        <f t="shared" si="103"/>
        <v/>
      </c>
      <c r="Q223" s="256" t="str">
        <f t="shared" si="103"/>
        <v/>
      </c>
      <c r="R223" s="256" t="str">
        <f t="shared" si="103"/>
        <v/>
      </c>
      <c r="S223" s="256" t="str">
        <f t="shared" si="103"/>
        <v/>
      </c>
      <c r="T223" s="256" t="str">
        <f t="shared" si="103"/>
        <v/>
      </c>
      <c r="U223" s="256" t="str">
        <f t="shared" si="103"/>
        <v/>
      </c>
      <c r="V223" s="612"/>
    </row>
    <row r="224" spans="1:22" x14ac:dyDescent="0.2">
      <c r="A224" s="262" t="s">
        <v>439</v>
      </c>
      <c r="B224" s="256" t="str">
        <f>B235</f>
        <v/>
      </c>
      <c r="C224" s="256" t="str">
        <f t="shared" ref="C224:U224" si="104">C235</f>
        <v/>
      </c>
      <c r="D224" s="256">
        <f t="shared" si="104"/>
        <v>9</v>
      </c>
      <c r="E224" s="256">
        <f t="shared" si="104"/>
        <v>1.7</v>
      </c>
      <c r="F224" s="256">
        <f t="shared" si="104"/>
        <v>3.6</v>
      </c>
      <c r="G224" s="256">
        <f t="shared" si="104"/>
        <v>4.6500000000000004</v>
      </c>
      <c r="H224" s="256">
        <f t="shared" si="104"/>
        <v>5.65</v>
      </c>
      <c r="I224" s="256">
        <f t="shared" si="104"/>
        <v>6.35</v>
      </c>
      <c r="J224" s="256">
        <f t="shared" si="104"/>
        <v>7.6</v>
      </c>
      <c r="K224" s="256">
        <f t="shared" si="104"/>
        <v>10.18</v>
      </c>
      <c r="L224" s="256">
        <f t="shared" si="104"/>
        <v>17.940000000000001</v>
      </c>
      <c r="M224" s="256" t="str">
        <f t="shared" si="104"/>
        <v/>
      </c>
      <c r="N224" s="256" t="str">
        <f t="shared" si="104"/>
        <v/>
      </c>
      <c r="O224" s="256" t="str">
        <f t="shared" si="104"/>
        <v/>
      </c>
      <c r="P224" s="256" t="str">
        <f t="shared" si="104"/>
        <v/>
      </c>
      <c r="Q224" s="256" t="str">
        <f t="shared" si="104"/>
        <v/>
      </c>
      <c r="R224" s="256" t="str">
        <f t="shared" si="104"/>
        <v/>
      </c>
      <c r="S224" s="256" t="str">
        <f t="shared" si="104"/>
        <v/>
      </c>
      <c r="T224" s="256" t="str">
        <f t="shared" si="104"/>
        <v/>
      </c>
      <c r="U224" s="256" t="str">
        <f t="shared" si="104"/>
        <v/>
      </c>
      <c r="V224" s="612"/>
    </row>
    <row r="225" spans="1:22" x14ac:dyDescent="0.2">
      <c r="A225" s="262" t="s">
        <v>440</v>
      </c>
      <c r="B225" s="256">
        <f>B236</f>
        <v>8.75</v>
      </c>
      <c r="C225" s="256">
        <f t="shared" ref="C225:U225" si="105">C236</f>
        <v>8.57</v>
      </c>
      <c r="D225" s="256">
        <f t="shared" si="105"/>
        <v>12.27</v>
      </c>
      <c r="E225" s="256">
        <f t="shared" si="105"/>
        <v>5.43</v>
      </c>
      <c r="F225" s="256">
        <f t="shared" si="105"/>
        <v>2.8</v>
      </c>
      <c r="G225" s="256">
        <f t="shared" si="105"/>
        <v>3.49</v>
      </c>
      <c r="H225" s="256">
        <f t="shared" si="105"/>
        <v>4.03</v>
      </c>
      <c r="I225" s="256">
        <f t="shared" si="105"/>
        <v>4.13</v>
      </c>
      <c r="J225" s="256">
        <f t="shared" si="105"/>
        <v>4.17</v>
      </c>
      <c r="K225" s="256">
        <f t="shared" si="105"/>
        <v>4.26</v>
      </c>
      <c r="L225" s="256">
        <f t="shared" si="105"/>
        <v>4.54</v>
      </c>
      <c r="M225" s="256" t="str">
        <f t="shared" si="105"/>
        <v/>
      </c>
      <c r="N225" s="256" t="str">
        <f t="shared" si="105"/>
        <v/>
      </c>
      <c r="O225" s="256" t="str">
        <f t="shared" si="105"/>
        <v/>
      </c>
      <c r="P225" s="256" t="str">
        <f t="shared" si="105"/>
        <v/>
      </c>
      <c r="Q225" s="256" t="str">
        <f t="shared" si="105"/>
        <v/>
      </c>
      <c r="R225" s="256" t="str">
        <f t="shared" si="105"/>
        <v/>
      </c>
      <c r="S225" s="256" t="str">
        <f t="shared" si="105"/>
        <v/>
      </c>
      <c r="T225" s="256" t="str">
        <f t="shared" si="105"/>
        <v/>
      </c>
      <c r="U225" s="256" t="str">
        <f t="shared" si="105"/>
        <v/>
      </c>
      <c r="V225" s="612"/>
    </row>
    <row r="226" spans="1:22" s="320" customFormat="1" ht="27.75" customHeight="1" x14ac:dyDescent="0.2">
      <c r="A226" s="414" t="s">
        <v>919</v>
      </c>
      <c r="B226" s="275">
        <f>B238</f>
        <v>5</v>
      </c>
      <c r="C226" s="275">
        <f t="shared" ref="C226:U226" si="106">C238</f>
        <v>35</v>
      </c>
      <c r="D226" s="275">
        <f t="shared" si="106"/>
        <v>48</v>
      </c>
      <c r="E226" s="275">
        <f t="shared" si="106"/>
        <v>55</v>
      </c>
      <c r="F226" s="275">
        <f t="shared" si="106"/>
        <v>82</v>
      </c>
      <c r="G226" s="275">
        <f t="shared" si="106"/>
        <v>78</v>
      </c>
      <c r="H226" s="275">
        <f t="shared" si="106"/>
        <v>86</v>
      </c>
      <c r="I226" s="275">
        <f t="shared" si="106"/>
        <v>87</v>
      </c>
      <c r="J226" s="275">
        <f t="shared" si="106"/>
        <v>87</v>
      </c>
      <c r="K226" s="275">
        <f t="shared" si="106"/>
        <v>85</v>
      </c>
      <c r="L226" s="275">
        <f t="shared" si="106"/>
        <v>82</v>
      </c>
      <c r="M226" s="275" t="str">
        <f t="shared" si="106"/>
        <v/>
      </c>
      <c r="N226" s="275" t="str">
        <f t="shared" si="106"/>
        <v/>
      </c>
      <c r="O226" s="275" t="str">
        <f t="shared" si="106"/>
        <v/>
      </c>
      <c r="P226" s="275" t="str">
        <f t="shared" si="106"/>
        <v/>
      </c>
      <c r="Q226" s="275" t="str">
        <f t="shared" si="106"/>
        <v/>
      </c>
      <c r="R226" s="275" t="str">
        <f t="shared" si="106"/>
        <v/>
      </c>
      <c r="S226" s="275" t="str">
        <f t="shared" si="106"/>
        <v/>
      </c>
      <c r="T226" s="275" t="str">
        <f t="shared" si="106"/>
        <v/>
      </c>
      <c r="U226" s="275" t="str">
        <f t="shared" si="106"/>
        <v/>
      </c>
      <c r="V226" s="624"/>
    </row>
    <row r="227" spans="1:22" x14ac:dyDescent="0.2">
      <c r="A227" s="265" t="s">
        <v>50</v>
      </c>
      <c r="B227" s="256">
        <f>B239</f>
        <v>0.08</v>
      </c>
      <c r="C227" s="256">
        <f t="shared" ref="C227:U227" si="107">C239</f>
        <v>0.17</v>
      </c>
      <c r="D227" s="256">
        <f t="shared" si="107"/>
        <v>0.44</v>
      </c>
      <c r="E227" s="256">
        <f t="shared" si="107"/>
        <v>8.57</v>
      </c>
      <c r="F227" s="256">
        <f t="shared" si="107"/>
        <v>11.25</v>
      </c>
      <c r="G227" s="256">
        <f t="shared" si="107"/>
        <v>12.46</v>
      </c>
      <c r="H227" s="256">
        <f t="shared" si="107"/>
        <v>14.11</v>
      </c>
      <c r="I227" s="256">
        <f t="shared" si="107"/>
        <v>15.95</v>
      </c>
      <c r="J227" s="256">
        <f t="shared" si="107"/>
        <v>17.97</v>
      </c>
      <c r="K227" s="256">
        <f t="shared" si="107"/>
        <v>20.190000000000001</v>
      </c>
      <c r="L227" s="256">
        <f t="shared" si="107"/>
        <v>22.74</v>
      </c>
      <c r="M227" s="256">
        <f t="shared" si="107"/>
        <v>12.62</v>
      </c>
      <c r="N227" s="256">
        <f t="shared" si="107"/>
        <v>12.62</v>
      </c>
      <c r="O227" s="256">
        <f t="shared" si="107"/>
        <v>12.62</v>
      </c>
      <c r="P227" s="256">
        <f t="shared" si="107"/>
        <v>12.62</v>
      </c>
      <c r="Q227" s="256">
        <f t="shared" si="107"/>
        <v>12.62</v>
      </c>
      <c r="R227" s="256">
        <f t="shared" si="107"/>
        <v>12.62</v>
      </c>
      <c r="S227" s="256">
        <f t="shared" si="107"/>
        <v>12.62</v>
      </c>
      <c r="T227" s="256">
        <f t="shared" si="107"/>
        <v>12.62</v>
      </c>
      <c r="U227" s="256">
        <f t="shared" si="107"/>
        <v>12.62</v>
      </c>
      <c r="V227" s="612"/>
    </row>
    <row r="228" spans="1:22" ht="26.25" customHeight="1" x14ac:dyDescent="0.25">
      <c r="A228" s="620" t="s">
        <v>433</v>
      </c>
      <c r="B228" s="610"/>
      <c r="C228" s="610"/>
      <c r="D228" s="610"/>
      <c r="E228" s="610"/>
      <c r="F228" s="610"/>
      <c r="G228" s="610"/>
      <c r="H228" s="610"/>
      <c r="I228" s="610"/>
      <c r="J228" s="610"/>
      <c r="K228" s="610"/>
      <c r="L228" s="610"/>
      <c r="M228" s="610"/>
      <c r="N228" s="610"/>
      <c r="O228" s="610"/>
      <c r="P228" s="610"/>
      <c r="Q228" s="610"/>
      <c r="R228" s="610"/>
      <c r="S228" s="610"/>
      <c r="T228" s="610"/>
      <c r="U228" s="610"/>
      <c r="V228" s="612"/>
    </row>
    <row r="229" spans="1:22" ht="15" x14ac:dyDescent="0.25">
      <c r="A229" s="260"/>
      <c r="B229" s="261">
        <f>B3</f>
        <v>2020</v>
      </c>
      <c r="C229" s="261">
        <f t="shared" ref="C229:O229" si="108">C3</f>
        <v>2021</v>
      </c>
      <c r="D229" s="261">
        <f t="shared" si="108"/>
        <v>2022</v>
      </c>
      <c r="E229" s="261">
        <f t="shared" si="108"/>
        <v>2023</v>
      </c>
      <c r="F229" s="261">
        <f t="shared" si="108"/>
        <v>2024</v>
      </c>
      <c r="G229" s="261">
        <f t="shared" si="108"/>
        <v>2025</v>
      </c>
      <c r="H229" s="261">
        <f t="shared" si="108"/>
        <v>2026</v>
      </c>
      <c r="I229" s="261">
        <f t="shared" si="108"/>
        <v>2027</v>
      </c>
      <c r="J229" s="261">
        <f t="shared" si="108"/>
        <v>2028</v>
      </c>
      <c r="K229" s="261">
        <f t="shared" si="108"/>
        <v>2029</v>
      </c>
      <c r="L229" s="261">
        <f t="shared" si="108"/>
        <v>2030</v>
      </c>
      <c r="M229" s="261">
        <f t="shared" si="108"/>
        <v>2031</v>
      </c>
      <c r="N229" s="261">
        <f t="shared" si="108"/>
        <v>2032</v>
      </c>
      <c r="O229" s="261">
        <f t="shared" si="108"/>
        <v>2033</v>
      </c>
      <c r="P229" s="261">
        <f t="shared" ref="P229:U229" si="109">P3</f>
        <v>2034</v>
      </c>
      <c r="Q229" s="261">
        <f t="shared" si="109"/>
        <v>2035</v>
      </c>
      <c r="R229" s="261">
        <f t="shared" si="109"/>
        <v>2036</v>
      </c>
      <c r="S229" s="261">
        <f t="shared" si="109"/>
        <v>2037</v>
      </c>
      <c r="T229" s="261">
        <f t="shared" si="109"/>
        <v>2038</v>
      </c>
      <c r="U229" s="261">
        <f t="shared" si="109"/>
        <v>2039</v>
      </c>
      <c r="V229" s="612"/>
    </row>
    <row r="230" spans="1:22" ht="15" x14ac:dyDescent="0.25">
      <c r="A230" s="260"/>
      <c r="B230" s="261" t="str">
        <f>B220</f>
        <v>AUD.</v>
      </c>
      <c r="C230" s="261" t="str">
        <f t="shared" ref="C230:O230" si="110">C220</f>
        <v>AUD.</v>
      </c>
      <c r="D230" s="261" t="str">
        <f t="shared" si="110"/>
        <v>AUD.</v>
      </c>
      <c r="E230" s="261" t="str">
        <f t="shared" si="110"/>
        <v>EST.</v>
      </c>
      <c r="F230" s="261" t="str">
        <f t="shared" si="110"/>
        <v>PROJ.</v>
      </c>
      <c r="G230" s="261" t="str">
        <f t="shared" si="110"/>
        <v>PROJ.</v>
      </c>
      <c r="H230" s="261" t="str">
        <f t="shared" si="110"/>
        <v>PROJ.</v>
      </c>
      <c r="I230" s="261" t="str">
        <f t="shared" si="110"/>
        <v>PROJ.</v>
      </c>
      <c r="J230" s="261" t="str">
        <f t="shared" si="110"/>
        <v>PROJ.</v>
      </c>
      <c r="K230" s="261" t="str">
        <f t="shared" si="110"/>
        <v>PROJ.</v>
      </c>
      <c r="L230" s="261" t="str">
        <f t="shared" si="110"/>
        <v>PROJ.</v>
      </c>
      <c r="M230" s="261" t="str">
        <f t="shared" si="110"/>
        <v>PROJ.</v>
      </c>
      <c r="N230" s="261" t="str">
        <f t="shared" si="110"/>
        <v>PROJ.</v>
      </c>
      <c r="O230" s="261" t="str">
        <f t="shared" si="110"/>
        <v>PROJ.</v>
      </c>
      <c r="P230" s="261" t="str">
        <f t="shared" ref="P230:U230" si="111">P220</f>
        <v>PROJ.</v>
      </c>
      <c r="Q230" s="261" t="str">
        <f t="shared" si="111"/>
        <v>PROJ.</v>
      </c>
      <c r="R230" s="261" t="str">
        <f t="shared" si="111"/>
        <v>PROJ.</v>
      </c>
      <c r="S230" s="261" t="str">
        <f t="shared" si="111"/>
        <v>PROJ.</v>
      </c>
      <c r="T230" s="261" t="str">
        <f t="shared" si="111"/>
        <v>PROJ.</v>
      </c>
      <c r="U230" s="261" t="str">
        <f t="shared" si="111"/>
        <v>PROJ.</v>
      </c>
      <c r="V230" s="612"/>
    </row>
    <row r="231" spans="1:22" x14ac:dyDescent="0.2">
      <c r="A231" s="262" t="s">
        <v>20</v>
      </c>
      <c r="B231" s="256">
        <f>IF(ISERROR(ROUND(B47,2)),"",ROUND(B47,2))</f>
        <v>2.5</v>
      </c>
      <c r="C231" s="256">
        <f t="shared" ref="C231:U231" si="112">IF(ISERROR(ROUND(C47,2)),"",ROUND(C47,2))</f>
        <v>1.59</v>
      </c>
      <c r="D231" s="256">
        <f t="shared" si="112"/>
        <v>10.02</v>
      </c>
      <c r="E231" s="256">
        <f t="shared" si="112"/>
        <v>0.77</v>
      </c>
      <c r="F231" s="256">
        <f t="shared" si="112"/>
        <v>1.38</v>
      </c>
      <c r="G231" s="256">
        <f t="shared" si="112"/>
        <v>1.2</v>
      </c>
      <c r="H231" s="256">
        <f t="shared" si="112"/>
        <v>0.97</v>
      </c>
      <c r="I231" s="256">
        <f t="shared" si="112"/>
        <v>0.72</v>
      </c>
      <c r="J231" s="256">
        <f t="shared" si="112"/>
        <v>0.51</v>
      </c>
      <c r="K231" s="256">
        <f t="shared" si="112"/>
        <v>0.33</v>
      </c>
      <c r="L231" s="256">
        <f t="shared" si="112"/>
        <v>0.15</v>
      </c>
      <c r="M231" s="256" t="str">
        <f t="shared" si="112"/>
        <v/>
      </c>
      <c r="N231" s="256" t="str">
        <f t="shared" si="112"/>
        <v/>
      </c>
      <c r="O231" s="256" t="str">
        <f t="shared" si="112"/>
        <v/>
      </c>
      <c r="P231" s="256" t="str">
        <f t="shared" si="112"/>
        <v/>
      </c>
      <c r="Q231" s="256" t="str">
        <f t="shared" si="112"/>
        <v/>
      </c>
      <c r="R231" s="256" t="str">
        <f t="shared" si="112"/>
        <v/>
      </c>
      <c r="S231" s="256" t="str">
        <f t="shared" si="112"/>
        <v/>
      </c>
      <c r="T231" s="256" t="str">
        <f t="shared" si="112"/>
        <v/>
      </c>
      <c r="U231" s="256" t="str">
        <f t="shared" si="112"/>
        <v/>
      </c>
      <c r="V231" s="612"/>
    </row>
    <row r="232" spans="1:22" x14ac:dyDescent="0.2">
      <c r="A232" s="262" t="s">
        <v>323</v>
      </c>
      <c r="B232" s="256">
        <f>IF(ISERROR(ROUND(B51,2)),"",ROUND(B51,2))</f>
        <v>1.31</v>
      </c>
      <c r="C232" s="256">
        <f t="shared" ref="C232:U232" si="113">IF(ISERROR(ROUND(C51,2)),"",ROUND(C51,2))</f>
        <v>2.4700000000000002</v>
      </c>
      <c r="D232" s="256">
        <f t="shared" si="113"/>
        <v>0.55000000000000004</v>
      </c>
      <c r="E232" s="256">
        <f t="shared" si="113"/>
        <v>0.64</v>
      </c>
      <c r="F232" s="256">
        <f t="shared" si="113"/>
        <v>1.37</v>
      </c>
      <c r="G232" s="256">
        <f t="shared" si="113"/>
        <v>1.71</v>
      </c>
      <c r="H232" s="256">
        <f t="shared" si="113"/>
        <v>1.97</v>
      </c>
      <c r="I232" s="256">
        <f t="shared" si="113"/>
        <v>2.2400000000000002</v>
      </c>
      <c r="J232" s="256">
        <f t="shared" si="113"/>
        <v>2.4300000000000002</v>
      </c>
      <c r="K232" s="256">
        <f t="shared" si="113"/>
        <v>2.4300000000000002</v>
      </c>
      <c r="L232" s="256">
        <f t="shared" si="113"/>
        <v>4.78</v>
      </c>
      <c r="M232" s="256" t="str">
        <f t="shared" si="113"/>
        <v/>
      </c>
      <c r="N232" s="256" t="str">
        <f t="shared" si="113"/>
        <v/>
      </c>
      <c r="O232" s="256" t="str">
        <f t="shared" si="113"/>
        <v/>
      </c>
      <c r="P232" s="256" t="str">
        <f t="shared" si="113"/>
        <v/>
      </c>
      <c r="Q232" s="256" t="str">
        <f t="shared" si="113"/>
        <v/>
      </c>
      <c r="R232" s="256" t="str">
        <f t="shared" si="113"/>
        <v/>
      </c>
      <c r="S232" s="256" t="str">
        <f t="shared" si="113"/>
        <v/>
      </c>
      <c r="T232" s="256" t="str">
        <f t="shared" si="113"/>
        <v/>
      </c>
      <c r="U232" s="256" t="str">
        <f t="shared" si="113"/>
        <v/>
      </c>
      <c r="V232" s="612"/>
    </row>
    <row r="233" spans="1:22" x14ac:dyDescent="0.2">
      <c r="A233" s="262" t="s">
        <v>438</v>
      </c>
      <c r="B233" s="256">
        <f>IF(ISERROR(B37/Asset!C93),"",IF(B37/Asset!C93=0,"",ROUND(B37/Asset!C93*100,2)))</f>
        <v>46.43</v>
      </c>
      <c r="C233" s="256">
        <f>IF(ISERROR(C37/Asset!D93),"",IF(C37/Asset!D93=0,"",ROUND(C37/Asset!D93*100,2)))</f>
        <v>34.090000000000003</v>
      </c>
      <c r="D233" s="256">
        <f>IF(ISERROR(D37/Asset!E93),"",IF(D37/Asset!E93=0,"",ROUND(D37/Asset!E93*100,2)))</f>
        <v>9.2799999999999994</v>
      </c>
      <c r="E233" s="256">
        <f>IF(ISERROR(E37/Asset!F93),"",IF(E37/Asset!F93=0,"",ROUND(E37/Asset!F93*100,2)))</f>
        <v>5.25</v>
      </c>
      <c r="F233" s="256">
        <f>IF(ISERROR(F37/Asset!G93),"",IF(F37/Asset!G93=0,"",ROUND(F37/Asset!G93*100,2)))</f>
        <v>12.23</v>
      </c>
      <c r="G233" s="256">
        <f>IF(ISERROR(G37/Asset!H93),"",IF(G37/Asset!H93=0,"",ROUND(G37/Asset!H93*100,2)))</f>
        <v>19.420000000000002</v>
      </c>
      <c r="H233" s="256">
        <f>IF(ISERROR(H37/Asset!I93),"",IF(H37/Asset!I93=0,"",ROUND(H37/Asset!I93*100,2)))</f>
        <v>19.559999999999999</v>
      </c>
      <c r="I233" s="256">
        <f>IF(ISERROR(I37/Asset!J93),"",IF(I37/Asset!J93=0,"",ROUND(I37/Asset!J93*100,2)))</f>
        <v>19.38</v>
      </c>
      <c r="J233" s="256">
        <f>IF(ISERROR(J37/Asset!K93),"",IF(J37/Asset!K93=0,"",ROUND(J37/Asset!K93*100,2)))</f>
        <v>19.100000000000001</v>
      </c>
      <c r="K233" s="256">
        <f>IF(ISERROR(K37/Asset!L93),"",IF(K37/Asset!L93=0,"",ROUND(K37/Asset!L93*100,2)))</f>
        <v>19.04</v>
      </c>
      <c r="L233" s="256">
        <f>IF(ISERROR(L37/Asset!M93),"",IF(L37/Asset!M93=0,"",ROUND(L37/Asset!M93*100,2)))</f>
        <v>19.7</v>
      </c>
      <c r="M233" s="256" t="str">
        <f>IF(ISERROR(M37/Asset!N93),"",IF(M37/Asset!N93=0,"",ROUND(M37/Asset!N93*100,2)))</f>
        <v/>
      </c>
      <c r="N233" s="256" t="str">
        <f>IF(ISERROR(N37/Asset!O93),"",IF(N37/Asset!O93=0,"",ROUND(N37/Asset!O93*100,2)))</f>
        <v/>
      </c>
      <c r="O233" s="256" t="str">
        <f>IF(ISERROR(O37/Asset!P93),"",IF(O37/Asset!P93=0,"",ROUND(O37/Asset!P93*100,2)))</f>
        <v/>
      </c>
      <c r="P233" s="256" t="str">
        <f>IF(ISERROR(P37/Asset!Q93),"",IF(P37/Asset!Q93=0,"",ROUND(P37/Asset!Q93*100,2)))</f>
        <v/>
      </c>
      <c r="Q233" s="256" t="str">
        <f>IF(ISERROR(Q37/Asset!R93),"",IF(Q37/Asset!R93=0,"",ROUND(Q37/Asset!R93*100,2)))</f>
        <v/>
      </c>
      <c r="R233" s="256" t="str">
        <f>IF(ISERROR(R37/Asset!S93),"",IF(R37/Asset!S93=0,"",ROUND(R37/Asset!S93*100,2)))</f>
        <v/>
      </c>
      <c r="S233" s="256" t="str">
        <f>IF(ISERROR(S37/Asset!T93),"",IF(S37/Asset!T93=0,"",ROUND(S37/Asset!T93*100,2)))</f>
        <v/>
      </c>
      <c r="T233" s="256" t="str">
        <f>IF(ISERROR(T37/Asset!U93),"",IF(T37/Asset!U93=0,"",ROUND(T37/Asset!U93*100,2)))</f>
        <v/>
      </c>
      <c r="U233" s="256" t="str">
        <f>IF(ISERROR(U37/Asset!V93),"",IF(U37/Asset!V93=0,"",ROUND(U37/Asset!V93*100,2)))</f>
        <v/>
      </c>
      <c r="V233" s="612"/>
    </row>
    <row r="234" spans="1:22" x14ac:dyDescent="0.2">
      <c r="A234" s="262" t="s">
        <v>764</v>
      </c>
      <c r="B234" s="256">
        <f>IF(ISERROR(('Oper.St.'!C95-'Oper.St.'!C100)/Asset!C93),"",IF(('Oper.St.'!C95-'Oper.St.'!C100)/Asset!C93=0,"",ROUND(('Oper.St.'!C95-'Oper.St.'!C100)/Asset!C93*100,2)))</f>
        <v>25</v>
      </c>
      <c r="C234" s="256">
        <f>IF(ISERROR(('Oper.St.'!D95-'Oper.St.'!D100)/Asset!D93),"",IF(('Oper.St.'!D95-'Oper.St.'!D100)/Asset!D93=0,"",ROUND(('Oper.St.'!D95-'Oper.St.'!D100)/Asset!D93*100,2)))</f>
        <v>20.45</v>
      </c>
      <c r="D234" s="256">
        <f>IF(ISERROR(('Oper.St.'!E95-'Oper.St.'!E100)/Asset!E93),"",IF(('Oper.St.'!E95-'Oper.St.'!E100)/Asset!E93=0,"",ROUND(('Oper.St.'!E95-'Oper.St.'!E100)/Asset!E93*100,2)))</f>
        <v>5.57</v>
      </c>
      <c r="E234" s="256">
        <f>IF(ISERROR(('Oper.St.'!F95-'Oper.St.'!F100)/Asset!F93),"",IF(('Oper.St.'!F95-'Oper.St.'!F100)/Asset!F93=0,"",ROUND(('Oper.St.'!F95-'Oper.St.'!F100)/Asset!F93*100,2)))</f>
        <v>1.42</v>
      </c>
      <c r="F234" s="256">
        <f>IF(ISERROR(('Oper.St.'!G95-'Oper.St.'!G100)/Asset!G93),"",IF(('Oper.St.'!G95-'Oper.St.'!G100)/Asset!G93=0,"",ROUND(('Oper.St.'!G95-'Oper.St.'!G100)/Asset!G93*100,2)))</f>
        <v>2.09</v>
      </c>
      <c r="G234" s="256">
        <f>IF(ISERROR(('Oper.St.'!H95-'Oper.St.'!H100)/Asset!H93),"",IF(('Oper.St.'!H95-'Oper.St.'!H100)/Asset!H93=0,"",ROUND(('Oper.St.'!H95-'Oper.St.'!H100)/Asset!H93*100,2)))</f>
        <v>4.3600000000000003</v>
      </c>
      <c r="H234" s="256">
        <f>IF(ISERROR(('Oper.St.'!I95-'Oper.St.'!I100)/Asset!I93),"",IF(('Oper.St.'!I95-'Oper.St.'!I100)/Asset!I93=0,"",ROUND(('Oper.St.'!I95-'Oper.St.'!I100)/Asset!I93*100,2)))</f>
        <v>5.84</v>
      </c>
      <c r="I234" s="256">
        <f>IF(ISERROR(('Oper.St.'!J95-'Oper.St.'!J100)/Asset!J93),"",IF(('Oper.St.'!J95-'Oper.St.'!J100)/Asset!J93=0,"",ROUND(('Oper.St.'!J95-'Oper.St.'!J100)/Asset!J93*100,2)))</f>
        <v>6.64</v>
      </c>
      <c r="J234" s="256">
        <f>IF(ISERROR(('Oper.St.'!K95-'Oper.St.'!K100)/Asset!K93),"",IF(('Oper.St.'!K95-'Oper.St.'!K100)/Asset!K93=0,"",ROUND(('Oper.St.'!K95-'Oper.St.'!K100)/Asset!K93*100,2)))</f>
        <v>7.38</v>
      </c>
      <c r="K234" s="256">
        <f>IF(ISERROR(('Oper.St.'!L95-'Oper.St.'!L100)/Asset!L93),"",IF(('Oper.St.'!L95-'Oper.St.'!L100)/Asset!L93=0,"",ROUND(('Oper.St.'!L95-'Oper.St.'!L100)/Asset!L93*100,2)))</f>
        <v>8.2799999999999994</v>
      </c>
      <c r="L234" s="256">
        <f>IF(ISERROR(('Oper.St.'!M95-'Oper.St.'!M100)/Asset!M93),"",IF(('Oper.St.'!M95-'Oper.St.'!M100)/Asset!M93=0,"",ROUND(('Oper.St.'!M95-'Oper.St.'!M100)/Asset!M93*100,2)))</f>
        <v>9.7200000000000006</v>
      </c>
      <c r="M234" s="256" t="str">
        <f>IF(ISERROR(('Oper.St.'!N95-'Oper.St.'!N100)/Asset!N93),"",IF(('Oper.St.'!N95-'Oper.St.'!N100)/Asset!N93=0,"",ROUND(('Oper.St.'!N95-'Oper.St.'!N100)/Asset!N93*100,2)))</f>
        <v/>
      </c>
      <c r="N234" s="256" t="str">
        <f>IF(ISERROR(('Oper.St.'!O95-'Oper.St.'!O100)/Asset!O93),"",IF(('Oper.St.'!O95-'Oper.St.'!O100)/Asset!O93=0,"",ROUND(('Oper.St.'!O95-'Oper.St.'!O100)/Asset!O93*100,2)))</f>
        <v/>
      </c>
      <c r="O234" s="256" t="str">
        <f>IF(ISERROR(('Oper.St.'!P95-'Oper.St.'!P100)/Asset!P93),"",IF(('Oper.St.'!P95-'Oper.St.'!P100)/Asset!P93=0,"",ROUND(('Oper.St.'!P95-'Oper.St.'!P100)/Asset!P93*100,2)))</f>
        <v/>
      </c>
      <c r="P234" s="256" t="str">
        <f>IF(ISERROR(('Oper.St.'!Q95-'Oper.St.'!Q100)/Asset!Q93),"",IF(('Oper.St.'!Q95-'Oper.St.'!Q100)/Asset!Q93=0,"",ROUND(('Oper.St.'!Q95-'Oper.St.'!Q100)/Asset!Q93*100,2)))</f>
        <v/>
      </c>
      <c r="Q234" s="256" t="str">
        <f>IF(ISERROR(('Oper.St.'!R95-'Oper.St.'!R100)/Asset!R93),"",IF(('Oper.St.'!R95-'Oper.St.'!R100)/Asset!R93=0,"",ROUND(('Oper.St.'!R95-'Oper.St.'!R100)/Asset!R93*100,2)))</f>
        <v/>
      </c>
      <c r="R234" s="256" t="str">
        <f>IF(ISERROR(('Oper.St.'!S95-'Oper.St.'!S100)/Asset!S93),"",IF(('Oper.St.'!S95-'Oper.St.'!S100)/Asset!S93=0,"",ROUND(('Oper.St.'!S95-'Oper.St.'!S100)/Asset!S93*100,2)))</f>
        <v/>
      </c>
      <c r="S234" s="256" t="str">
        <f>IF(ISERROR(('Oper.St.'!T95-'Oper.St.'!T100)/Asset!T93),"",IF(('Oper.St.'!T95-'Oper.St.'!T100)/Asset!T93=0,"",ROUND(('Oper.St.'!T95-'Oper.St.'!T100)/Asset!T93*100,2)))</f>
        <v/>
      </c>
      <c r="T234" s="256" t="str">
        <f>IF(ISERROR(('Oper.St.'!U95-'Oper.St.'!U100)/Asset!U93),"",IF(('Oper.St.'!U95-'Oper.St.'!U100)/Asset!U93=0,"",ROUND(('Oper.St.'!U95-'Oper.St.'!U100)/Asset!U93*100,2)))</f>
        <v/>
      </c>
      <c r="U234" s="256" t="str">
        <f>IF(ISERROR(('Oper.St.'!V95-'Oper.St.'!V100)/Asset!V93),"",IF(('Oper.St.'!V95-'Oper.St.'!V100)/Asset!V93=0,"",ROUND(('Oper.St.'!V95-'Oper.St.'!V100)/Asset!V93*100,2)))</f>
        <v/>
      </c>
      <c r="V234" s="612"/>
    </row>
    <row r="235" spans="1:22" x14ac:dyDescent="0.2">
      <c r="A235" s="262" t="s">
        <v>439</v>
      </c>
      <c r="B235" s="256" t="str">
        <f>IF(ISERROR(B37/B23),"",IF(B37/B23=0,"",ROUND(B37/B23,2)))</f>
        <v/>
      </c>
      <c r="C235" s="256" t="str">
        <f t="shared" ref="C235:U235" si="114">IF(ISERROR(C37/C23),"",IF(C37/C23=0,"",ROUND(C37/C23,2)))</f>
        <v/>
      </c>
      <c r="D235" s="256">
        <f t="shared" si="114"/>
        <v>9</v>
      </c>
      <c r="E235" s="256">
        <f t="shared" si="114"/>
        <v>1.7</v>
      </c>
      <c r="F235" s="256">
        <f t="shared" si="114"/>
        <v>3.6</v>
      </c>
      <c r="G235" s="256">
        <f t="shared" si="114"/>
        <v>4.6500000000000004</v>
      </c>
      <c r="H235" s="256">
        <f t="shared" si="114"/>
        <v>5.65</v>
      </c>
      <c r="I235" s="256">
        <f t="shared" si="114"/>
        <v>6.35</v>
      </c>
      <c r="J235" s="256">
        <f t="shared" si="114"/>
        <v>7.6</v>
      </c>
      <c r="K235" s="256">
        <f t="shared" si="114"/>
        <v>10.18</v>
      </c>
      <c r="L235" s="256">
        <f t="shared" si="114"/>
        <v>17.940000000000001</v>
      </c>
      <c r="M235" s="256" t="str">
        <f t="shared" si="114"/>
        <v/>
      </c>
      <c r="N235" s="256" t="str">
        <f t="shared" si="114"/>
        <v/>
      </c>
      <c r="O235" s="256" t="str">
        <f t="shared" si="114"/>
        <v/>
      </c>
      <c r="P235" s="256" t="str">
        <f t="shared" si="114"/>
        <v/>
      </c>
      <c r="Q235" s="256" t="str">
        <f t="shared" si="114"/>
        <v/>
      </c>
      <c r="R235" s="256" t="str">
        <f t="shared" si="114"/>
        <v/>
      </c>
      <c r="S235" s="256" t="str">
        <f t="shared" si="114"/>
        <v/>
      </c>
      <c r="T235" s="256" t="str">
        <f t="shared" si="114"/>
        <v/>
      </c>
      <c r="U235" s="256" t="str">
        <f t="shared" si="114"/>
        <v/>
      </c>
      <c r="V235" s="612"/>
    </row>
    <row r="236" spans="1:22" x14ac:dyDescent="0.2">
      <c r="A236" s="262" t="s">
        <v>440</v>
      </c>
      <c r="B236" s="256">
        <f>IF(ISERROR(B33/B7),"",IF(B33/B7=0,"",ROUND(B33/B7*100,2)))</f>
        <v>8.75</v>
      </c>
      <c r="C236" s="256">
        <f t="shared" ref="C236:U236" si="115">IF(ISERROR(C33/C7),"",IF(C33/C7=0,"",ROUND(C33/C7*100,2)))</f>
        <v>8.57</v>
      </c>
      <c r="D236" s="256">
        <f t="shared" si="115"/>
        <v>12.27</v>
      </c>
      <c r="E236" s="256">
        <f t="shared" si="115"/>
        <v>5.43</v>
      </c>
      <c r="F236" s="256">
        <f t="shared" si="115"/>
        <v>2.8</v>
      </c>
      <c r="G236" s="256">
        <f t="shared" si="115"/>
        <v>3.49</v>
      </c>
      <c r="H236" s="256">
        <f t="shared" si="115"/>
        <v>4.03</v>
      </c>
      <c r="I236" s="256">
        <f t="shared" si="115"/>
        <v>4.13</v>
      </c>
      <c r="J236" s="256">
        <f t="shared" si="115"/>
        <v>4.17</v>
      </c>
      <c r="K236" s="256">
        <f t="shared" si="115"/>
        <v>4.26</v>
      </c>
      <c r="L236" s="256">
        <f t="shared" si="115"/>
        <v>4.54</v>
      </c>
      <c r="M236" s="256" t="str">
        <f t="shared" si="115"/>
        <v/>
      </c>
      <c r="N236" s="256" t="str">
        <f t="shared" si="115"/>
        <v/>
      </c>
      <c r="O236" s="256" t="str">
        <f t="shared" si="115"/>
        <v/>
      </c>
      <c r="P236" s="256" t="str">
        <f t="shared" si="115"/>
        <v/>
      </c>
      <c r="Q236" s="256" t="str">
        <f t="shared" si="115"/>
        <v/>
      </c>
      <c r="R236" s="256" t="str">
        <f t="shared" si="115"/>
        <v/>
      </c>
      <c r="S236" s="256" t="str">
        <f t="shared" si="115"/>
        <v/>
      </c>
      <c r="T236" s="256" t="str">
        <f t="shared" si="115"/>
        <v/>
      </c>
      <c r="U236" s="256" t="str">
        <f t="shared" si="115"/>
        <v/>
      </c>
      <c r="V236" s="612"/>
    </row>
    <row r="237" spans="1:22" ht="28.5" x14ac:dyDescent="0.2">
      <c r="A237" s="263" t="s">
        <v>442</v>
      </c>
      <c r="B237" s="256">
        <f>IF(ISERROR(('Oper.St.'!C95-'Oper.St.'!C100+'Oper.St.'!C47)/Liab!C80),"",IF(('Oper.St.'!C95-'Oper.St.'!C100+'Oper.St.'!C47)/Liab!C80=0,"",ROUND(('Oper.St.'!C95-'Oper.St.'!C100+'Oper.St.'!C47)/Liab!C80*100,2)))</f>
        <v>50</v>
      </c>
      <c r="C237" s="256">
        <f>IF(ISERROR(('Oper.St.'!D95-'Oper.St.'!D100+'Oper.St.'!D47)/Liab!D80),"",IF(('Oper.St.'!D95-'Oper.St.'!D100+'Oper.St.'!D47)/Liab!D80=0,"",ROUND(('Oper.St.'!D95-'Oper.St.'!D100+'Oper.St.'!D47)/Liab!D80*100,2)))</f>
        <v>40.74</v>
      </c>
      <c r="D237" s="256">
        <f>IF(ISERROR(('Oper.St.'!E95-'Oper.St.'!E100+'Oper.St.'!E47)/Liab!E80),"",IF(('Oper.St.'!E95-'Oper.St.'!E100+'Oper.St.'!E47)/Liab!E80=0,"",ROUND(('Oper.St.'!E95-'Oper.St.'!E100+'Oper.St.'!E47)/Liab!E80*100,2)))</f>
        <v>6.58</v>
      </c>
      <c r="E237" s="256">
        <f>IF(ISERROR(('Oper.St.'!F95-'Oper.St.'!F100+'Oper.St.'!F47)/Liab!F80),"",IF(('Oper.St.'!F95-'Oper.St.'!F100+'Oper.St.'!F47)/Liab!F80=0,"",ROUND(('Oper.St.'!F95-'Oper.St.'!F100+'Oper.St.'!F47)/Liab!F80*100,2)))</f>
        <v>3.59</v>
      </c>
      <c r="F237" s="256">
        <f>IF(ISERROR(('Oper.St.'!G95-'Oper.St.'!G100+'Oper.St.'!G47)/Liab!G80),"",IF(('Oper.St.'!G95-'Oper.St.'!G100+'Oper.St.'!G47)/Liab!G80=0,"",ROUND(('Oper.St.'!G95-'Oper.St.'!G100+'Oper.St.'!G47)/Liab!G80*100,2)))</f>
        <v>13.76</v>
      </c>
      <c r="G237" s="256">
        <f>IF(ISERROR(('Oper.St.'!H95-'Oper.St.'!H100+'Oper.St.'!H47)/Liab!H80),"",IF(('Oper.St.'!H95-'Oper.St.'!H100+'Oper.St.'!H47)/Liab!H80=0,"",ROUND(('Oper.St.'!H95-'Oper.St.'!H100+'Oper.St.'!H47)/Liab!H80*100,2)))</f>
        <v>24.56</v>
      </c>
      <c r="H237" s="256">
        <f>IF(ISERROR(('Oper.St.'!I95-'Oper.St.'!I100+'Oper.St.'!I47)/Liab!I80),"",IF(('Oper.St.'!I95-'Oper.St.'!I100+'Oper.St.'!I47)/Liab!I80=0,"",ROUND(('Oper.St.'!I95-'Oper.St.'!I100+'Oper.St.'!I47)/Liab!I80*100,2)))</f>
        <v>27.63</v>
      </c>
      <c r="I237" s="256">
        <f>IF(ISERROR(('Oper.St.'!J95-'Oper.St.'!J100+'Oper.St.'!J47)/Liab!J80),"",IF(('Oper.St.'!J95-'Oper.St.'!J100+'Oper.St.'!J47)/Liab!J80=0,"",ROUND(('Oper.St.'!J95-'Oper.St.'!J100+'Oper.St.'!J47)/Liab!J80*100,2)))</f>
        <v>32.270000000000003</v>
      </c>
      <c r="J237" s="256">
        <f>IF(ISERROR(('Oper.St.'!K95-'Oper.St.'!K100+'Oper.St.'!K47)/Liab!K80),"",IF(('Oper.St.'!K95-'Oper.St.'!K100+'Oper.St.'!K47)/Liab!K80=0,"",ROUND(('Oper.St.'!K95-'Oper.St.'!K100+'Oper.St.'!K47)/Liab!K80*100,2)))</f>
        <v>39.799999999999997</v>
      </c>
      <c r="K237" s="256">
        <f>IF(ISERROR(('Oper.St.'!L95-'Oper.St.'!L100+'Oper.St.'!L47)/Liab!L80),"",IF(('Oper.St.'!L95-'Oper.St.'!L100+'Oper.St.'!L47)/Liab!L80=0,"",ROUND(('Oper.St.'!L95-'Oper.St.'!L100+'Oper.St.'!L47)/Liab!L80*100,2)))</f>
        <v>55.36</v>
      </c>
      <c r="L237" s="256">
        <f>IF(ISERROR(('Oper.St.'!M95-'Oper.St.'!M100+'Oper.St.'!M47)/Liab!M80),"",IF(('Oper.St.'!M95-'Oper.St.'!M100+'Oper.St.'!M47)/Liab!M80=0,"",ROUND(('Oper.St.'!M95-'Oper.St.'!M100+'Oper.St.'!M47)/Liab!M80*100,2)))</f>
        <v>108.5</v>
      </c>
      <c r="M237" s="256" t="str">
        <f>IF(ISERROR(('Oper.St.'!N95-'Oper.St.'!N100+'Oper.St.'!N47)/Liab!N80),"",IF(('Oper.St.'!N95-'Oper.St.'!N100+'Oper.St.'!N47)/Liab!N80=0,"",ROUND(('Oper.St.'!N95-'Oper.St.'!N100+'Oper.St.'!N47)/Liab!N80*100,2)))</f>
        <v/>
      </c>
      <c r="N237" s="256" t="str">
        <f>IF(ISERROR(('Oper.St.'!O95-'Oper.St.'!O100+'Oper.St.'!O47)/Liab!O80),"",IF(('Oper.St.'!O95-'Oper.St.'!O100+'Oper.St.'!O47)/Liab!O80=0,"",ROUND(('Oper.St.'!O95-'Oper.St.'!O100+'Oper.St.'!O47)/Liab!O80*100,2)))</f>
        <v/>
      </c>
      <c r="O237" s="256" t="str">
        <f>IF(ISERROR(('Oper.St.'!P95-'Oper.St.'!P100+'Oper.St.'!P47)/Liab!P80),"",IF(('Oper.St.'!P95-'Oper.St.'!P100+'Oper.St.'!P47)/Liab!P80=0,"",ROUND(('Oper.St.'!P95-'Oper.St.'!P100+'Oper.St.'!P47)/Liab!P80*100,2)))</f>
        <v/>
      </c>
      <c r="P237" s="256" t="str">
        <f>IF(ISERROR(('Oper.St.'!Q95-'Oper.St.'!Q100+'Oper.St.'!Q47)/Liab!Q80),"",IF(('Oper.St.'!Q95-'Oper.St.'!Q100+'Oper.St.'!Q47)/Liab!Q80=0,"",ROUND(('Oper.St.'!Q95-'Oper.St.'!Q100+'Oper.St.'!Q47)/Liab!Q80*100,2)))</f>
        <v/>
      </c>
      <c r="Q237" s="256" t="str">
        <f>IF(ISERROR(('Oper.St.'!R95-'Oper.St.'!R100+'Oper.St.'!R47)/Liab!R80),"",IF(('Oper.St.'!R95-'Oper.St.'!R100+'Oper.St.'!R47)/Liab!R80=0,"",ROUND(('Oper.St.'!R95-'Oper.St.'!R100+'Oper.St.'!R47)/Liab!R80*100,2)))</f>
        <v/>
      </c>
      <c r="R237" s="256" t="str">
        <f>IF(ISERROR(('Oper.St.'!S95-'Oper.St.'!S100+'Oper.St.'!S47)/Liab!S80),"",IF(('Oper.St.'!S95-'Oper.St.'!S100+'Oper.St.'!S47)/Liab!S80=0,"",ROUND(('Oper.St.'!S95-'Oper.St.'!S100+'Oper.St.'!S47)/Liab!S80*100,2)))</f>
        <v/>
      </c>
      <c r="S237" s="256" t="str">
        <f>IF(ISERROR(('Oper.St.'!T95-'Oper.St.'!T100+'Oper.St.'!T47)/Liab!T80),"",IF(('Oper.St.'!T95-'Oper.St.'!T100+'Oper.St.'!T47)/Liab!T80=0,"",ROUND(('Oper.St.'!T95-'Oper.St.'!T100+'Oper.St.'!T47)/Liab!T80*100,2)))</f>
        <v/>
      </c>
      <c r="T237" s="256" t="str">
        <f>IF(ISERROR(('Oper.St.'!U95-'Oper.St.'!U100+'Oper.St.'!U47)/Liab!U80),"",IF(('Oper.St.'!U95-'Oper.St.'!U100+'Oper.St.'!U47)/Liab!U80=0,"",ROUND(('Oper.St.'!U95-'Oper.St.'!U100+'Oper.St.'!U47)/Liab!U80*100,2)))</f>
        <v/>
      </c>
      <c r="U237" s="256" t="str">
        <f>IF(ISERROR(('Oper.St.'!V95-'Oper.St.'!V100+'Oper.St.'!V47)/Liab!V80),"",IF(('Oper.St.'!V95-'Oper.St.'!V100+'Oper.St.'!V47)/Liab!V80=0,"",ROUND(('Oper.St.'!V95-'Oper.St.'!V100+'Oper.St.'!V47)/Liab!V80*100,2)))</f>
        <v/>
      </c>
      <c r="V237" s="612"/>
    </row>
    <row r="238" spans="1:22" s="320" customFormat="1" ht="28.5" x14ac:dyDescent="0.2">
      <c r="A238" s="414" t="s">
        <v>919</v>
      </c>
      <c r="B238" s="275">
        <f>IF(ISERROR((Asset!C40/'Oper.St.'!C23*365)+((Asset!C24+Asset!C75+Asset!C76)/'Oper.St.'!C17*365)),"",IF((Asset!C40/'Oper.St.'!C23*365)+((Asset!C24+Asset!C75+Asset!C76)/'Oper.St.'!C17*365)=0,"",ROUND((Asset!C40/'Oper.St.'!C23*365)+((Asset!C24+Asset!C75+Asset!C76)/'Oper.St.'!C17*365),0)))</f>
        <v>5</v>
      </c>
      <c r="C238" s="275">
        <f>IF(ISERROR((Asset!D40/'Oper.St.'!D23*365)+((Asset!D24+Asset!D75+Asset!D76)/'Oper.St.'!D17*365)),"",IF((Asset!D40/'Oper.St.'!D23*365)+((Asset!D24+Asset!D75+Asset!D76)/'Oper.St.'!D17*365)=0,"",ROUND((Asset!D40/'Oper.St.'!D23*365)+((Asset!D24+Asset!D75+Asset!D76)/'Oper.St.'!D17*365),0)))</f>
        <v>35</v>
      </c>
      <c r="D238" s="275">
        <f>IF(ISERROR((Asset!E40/'Oper.St.'!E23*365)+((Asset!E24+Asset!E75+Asset!E76)/'Oper.St.'!E17*365)),"",IF((Asset!E40/'Oper.St.'!E23*365)+((Asset!E24+Asset!E75+Asset!E76)/'Oper.St.'!E17*365)=0,"",ROUND((Asset!E40/'Oper.St.'!E23*365)+((Asset!E24+Asset!E75+Asset!E76)/'Oper.St.'!E17*365),0)))</f>
        <v>48</v>
      </c>
      <c r="E238" s="275">
        <f>IF(ISERROR((Asset!F40/'Oper.St.'!F23*365)+((Asset!F24+Asset!F75+Asset!F76)/'Oper.St.'!F17*365)),"",IF((Asset!F40/'Oper.St.'!F23*365)+((Asset!F24+Asset!F75+Asset!F76)/'Oper.St.'!F17*365)=0,"",ROUND((Asset!F40/'Oper.St.'!F23*365)+((Asset!F24+Asset!F75+Asset!F76)/'Oper.St.'!F17*365),0)))</f>
        <v>55</v>
      </c>
      <c r="F238" s="275">
        <f>IF(ISERROR((Asset!G40/'Oper.St.'!G23*365)+((Asset!G24+Asset!G75+Asset!G76)/'Oper.St.'!G17*365)),"",IF((Asset!G40/'Oper.St.'!G23*365)+((Asset!G24+Asset!G75+Asset!G76)/'Oper.St.'!G17*365)=0,"",ROUND((Asset!G40/'Oper.St.'!G23*365)+((Asset!G24+Asset!G75+Asset!G76)/'Oper.St.'!G17*365),0)))</f>
        <v>82</v>
      </c>
      <c r="G238" s="275">
        <f>IF(ISERROR((Asset!H40/'Oper.St.'!H23*365)+((Asset!H24+Asset!H75+Asset!H76)/'Oper.St.'!H17*365)),"",IF((Asset!H40/'Oper.St.'!H23*365)+((Asset!H24+Asset!H75+Asset!H76)/'Oper.St.'!H17*365)=0,"",ROUND((Asset!H40/'Oper.St.'!H23*365)+((Asset!H24+Asset!H75+Asset!H76)/'Oper.St.'!H17*365),0)))</f>
        <v>78</v>
      </c>
      <c r="H238" s="275">
        <f>IF(ISERROR((Asset!I40/'Oper.St.'!I23*365)+((Asset!I24+Asset!I75+Asset!I76)/'Oper.St.'!I17*365)),"",IF((Asset!I40/'Oper.St.'!I23*365)+((Asset!I24+Asset!I75+Asset!I76)/'Oper.St.'!I17*365)=0,"",ROUND((Asset!I40/'Oper.St.'!I23*365)+((Asset!I24+Asset!I75+Asset!I76)/'Oper.St.'!I17*365),0)))</f>
        <v>86</v>
      </c>
      <c r="I238" s="275">
        <f>IF(ISERROR((Asset!J40/'Oper.St.'!J23*365)+((Asset!J24+Asset!J75+Asset!J76)/'Oper.St.'!J17*365)),"",IF((Asset!J40/'Oper.St.'!J23*365)+((Asset!J24+Asset!J75+Asset!J76)/'Oper.St.'!J17*365)=0,"",ROUND((Asset!J40/'Oper.St.'!J23*365)+((Asset!J24+Asset!J75+Asset!J76)/'Oper.St.'!J17*365),0)))</f>
        <v>87</v>
      </c>
      <c r="J238" s="275">
        <f>IF(ISERROR((Asset!K40/'Oper.St.'!K23*365)+((Asset!K24+Asset!K75+Asset!K76)/'Oper.St.'!K17*365)),"",IF((Asset!K40/'Oper.St.'!K23*365)+((Asset!K24+Asset!K75+Asset!K76)/'Oper.St.'!K17*365)=0,"",ROUND((Asset!K40/'Oper.St.'!K23*365)+((Asset!K24+Asset!K75+Asset!K76)/'Oper.St.'!K17*365),0)))</f>
        <v>87</v>
      </c>
      <c r="K238" s="275">
        <f>IF(ISERROR((Asset!L40/'Oper.St.'!L23*365)+((Asset!L24+Asset!L75+Asset!L76)/'Oper.St.'!L17*365)),"",IF((Asset!L40/'Oper.St.'!L23*365)+((Asset!L24+Asset!L75+Asset!L76)/'Oper.St.'!L17*365)=0,"",ROUND((Asset!L40/'Oper.St.'!L23*365)+((Asset!L24+Asset!L75+Asset!L76)/'Oper.St.'!L17*365),0)))</f>
        <v>85</v>
      </c>
      <c r="L238" s="275">
        <f>IF(ISERROR((Asset!M40/'Oper.St.'!M23*365)+((Asset!M24+Asset!M75+Asset!M76)/'Oper.St.'!M17*365)),"",IF((Asset!M40/'Oper.St.'!M23*365)+((Asset!M24+Asset!M75+Asset!M76)/'Oper.St.'!M17*365)=0,"",ROUND((Asset!M40/'Oper.St.'!M23*365)+((Asset!M24+Asset!M75+Asset!M76)/'Oper.St.'!M17*365),0)))</f>
        <v>82</v>
      </c>
      <c r="M238" s="275" t="str">
        <f>IF(ISERROR((Asset!N40/'Oper.St.'!N23*365)+((Asset!N24+Asset!N75+Asset!N76)/'Oper.St.'!N17*365)),"",IF((Asset!N40/'Oper.St.'!N23*365)+((Asset!N24+Asset!N75+Asset!N76)/'Oper.St.'!N17*365)=0,"",ROUND((Asset!N40/'Oper.St.'!N23*365)+((Asset!N24+Asset!N75+Asset!N76)/'Oper.St.'!N17*365),0)))</f>
        <v/>
      </c>
      <c r="N238" s="275" t="str">
        <f>IF(ISERROR((Asset!O40/'Oper.St.'!O23*365)+((Asset!O24+Asset!O75+Asset!O76)/'Oper.St.'!O17*365)),"",IF((Asset!O40/'Oper.St.'!O23*365)+((Asset!O24+Asset!O75+Asset!O76)/'Oper.St.'!O17*365)=0,"",ROUND((Asset!O40/'Oper.St.'!O23*365)+((Asset!O24+Asset!O75+Asset!O76)/'Oper.St.'!O17*365),0)))</f>
        <v/>
      </c>
      <c r="O238" s="275" t="str">
        <f>IF(ISERROR((Asset!P40/'Oper.St.'!P23*365)+((Asset!P24+Asset!P75+Asset!P76)/'Oper.St.'!P17*365)),"",IF((Asset!P40/'Oper.St.'!P23*365)+((Asset!P24+Asset!P75+Asset!P76)/'Oper.St.'!P17*365)=0,"",ROUND((Asset!P40/'Oper.St.'!P23*365)+((Asset!P24+Asset!P75+Asset!P76)/'Oper.St.'!P17*365),0)))</f>
        <v/>
      </c>
      <c r="P238" s="275" t="str">
        <f>IF(ISERROR((Asset!Q40/'Oper.St.'!Q23*365)+((Asset!Q24+Asset!Q75+Asset!Q76)/'Oper.St.'!Q17*365)),"",IF((Asset!Q40/'Oper.St.'!Q23*365)+((Asset!Q24+Asset!Q75+Asset!Q76)/'Oper.St.'!Q17*365)=0,"",ROUND((Asset!Q40/'Oper.St.'!Q23*365)+((Asset!Q24+Asset!Q75+Asset!Q76)/'Oper.St.'!Q17*365),0)))</f>
        <v/>
      </c>
      <c r="Q238" s="275" t="str">
        <f>IF(ISERROR((Asset!R40/'Oper.St.'!R23*365)+((Asset!R24+Asset!R75+Asset!R76)/'Oper.St.'!R17*365)),"",IF((Asset!R40/'Oper.St.'!R23*365)+((Asset!R24+Asset!R75+Asset!R76)/'Oper.St.'!R17*365)=0,"",ROUND((Asset!R40/'Oper.St.'!R23*365)+((Asset!R24+Asset!R75+Asset!R76)/'Oper.St.'!R17*365),0)))</f>
        <v/>
      </c>
      <c r="R238" s="275" t="str">
        <f>IF(ISERROR((Asset!S40/'Oper.St.'!S23*365)+((Asset!S24+Asset!S75+Asset!S76)/'Oper.St.'!S17*365)),"",IF((Asset!S40/'Oper.St.'!S23*365)+((Asset!S24+Asset!S75+Asset!S76)/'Oper.St.'!S17*365)=0,"",ROUND((Asset!S40/'Oper.St.'!S23*365)+((Asset!S24+Asset!S75+Asset!S76)/'Oper.St.'!S17*365),0)))</f>
        <v/>
      </c>
      <c r="S238" s="275" t="str">
        <f>IF(ISERROR((Asset!T40/'Oper.St.'!T23*365)+((Asset!T24+Asset!T75+Asset!T76)/'Oper.St.'!T17*365)),"",IF((Asset!T40/'Oper.St.'!T23*365)+((Asset!T24+Asset!T75+Asset!T76)/'Oper.St.'!T17*365)=0,"",ROUND((Asset!T40/'Oper.St.'!T23*365)+((Asset!T24+Asset!T75+Asset!T76)/'Oper.St.'!T17*365),0)))</f>
        <v/>
      </c>
      <c r="T238" s="275" t="str">
        <f>IF(ISERROR((Asset!U40/'Oper.St.'!U23*365)+((Asset!U24+Asset!U75+Asset!U76)/'Oper.St.'!U17*365)),"",IF((Asset!U40/'Oper.St.'!U23*365)+((Asset!U24+Asset!U75+Asset!U76)/'Oper.St.'!U17*365)=0,"",ROUND((Asset!U40/'Oper.St.'!U23*365)+((Asset!U24+Asset!U75+Asset!U76)/'Oper.St.'!U17*365),0)))</f>
        <v/>
      </c>
      <c r="U238" s="275" t="str">
        <f>IF(ISERROR((Asset!V40/'Oper.St.'!V23*365)+((Asset!V24+Asset!V75+Asset!V76)/'Oper.St.'!V17*365)),"",IF((Asset!V40/'Oper.St.'!V23*365)+((Asset!V24+Asset!V75+Asset!V76)/'Oper.St.'!V17*365)=0,"",ROUND((Asset!V40/'Oper.St.'!V23*365)+((Asset!V24+Asset!V75+Asset!V76)/'Oper.St.'!V17*365),0)))</f>
        <v/>
      </c>
      <c r="V238" s="624"/>
    </row>
    <row r="239" spans="1:22" x14ac:dyDescent="0.2">
      <c r="A239" s="265" t="s">
        <v>50</v>
      </c>
      <c r="B239" s="256">
        <f>IF(ISERROR(ROUND(B43,2)),"",ROUND(B43,2))</f>
        <v>0.08</v>
      </c>
      <c r="C239" s="256">
        <f t="shared" ref="C239:U239" si="116">IF(ISERROR(ROUND(C43,2)),"",ROUND(C43,2))</f>
        <v>0.17</v>
      </c>
      <c r="D239" s="256">
        <f t="shared" si="116"/>
        <v>0.44</v>
      </c>
      <c r="E239" s="256">
        <f t="shared" si="116"/>
        <v>8.57</v>
      </c>
      <c r="F239" s="256">
        <f t="shared" si="116"/>
        <v>11.25</v>
      </c>
      <c r="G239" s="256">
        <f t="shared" si="116"/>
        <v>12.46</v>
      </c>
      <c r="H239" s="256">
        <f t="shared" si="116"/>
        <v>14.11</v>
      </c>
      <c r="I239" s="256">
        <f t="shared" si="116"/>
        <v>15.95</v>
      </c>
      <c r="J239" s="256">
        <f t="shared" si="116"/>
        <v>17.97</v>
      </c>
      <c r="K239" s="256">
        <f t="shared" si="116"/>
        <v>20.190000000000001</v>
      </c>
      <c r="L239" s="256">
        <f t="shared" si="116"/>
        <v>22.74</v>
      </c>
      <c r="M239" s="256">
        <f t="shared" si="116"/>
        <v>12.62</v>
      </c>
      <c r="N239" s="256">
        <f t="shared" si="116"/>
        <v>12.62</v>
      </c>
      <c r="O239" s="256">
        <f t="shared" si="116"/>
        <v>12.62</v>
      </c>
      <c r="P239" s="256">
        <f t="shared" si="116"/>
        <v>12.62</v>
      </c>
      <c r="Q239" s="256">
        <f t="shared" si="116"/>
        <v>12.62</v>
      </c>
      <c r="R239" s="256">
        <f t="shared" si="116"/>
        <v>12.62</v>
      </c>
      <c r="S239" s="256">
        <f t="shared" si="116"/>
        <v>12.62</v>
      </c>
      <c r="T239" s="256">
        <f t="shared" si="116"/>
        <v>12.62</v>
      </c>
      <c r="U239" s="256">
        <f t="shared" si="116"/>
        <v>12.62</v>
      </c>
      <c r="V239" s="612"/>
    </row>
    <row r="240" spans="1:22" x14ac:dyDescent="0.2">
      <c r="A240" s="627" t="s">
        <v>765</v>
      </c>
      <c r="B240" s="610"/>
      <c r="C240" s="610"/>
      <c r="D240" s="610"/>
      <c r="E240" s="610"/>
      <c r="F240" s="610"/>
      <c r="G240" s="610"/>
      <c r="H240" s="610"/>
      <c r="I240" s="610"/>
      <c r="J240" s="610"/>
      <c r="K240" s="610"/>
      <c r="L240" s="610"/>
      <c r="M240" s="610"/>
      <c r="N240" s="610"/>
      <c r="O240" s="610"/>
      <c r="P240" s="610"/>
      <c r="Q240" s="610"/>
      <c r="R240" s="610"/>
      <c r="S240" s="610"/>
      <c r="T240" s="610"/>
      <c r="U240" s="610"/>
      <c r="V240" s="612"/>
    </row>
  </sheetData>
  <protectedRanges>
    <protectedRange sqref="B71:B72" name="Range3"/>
    <protectedRange sqref="B65:B68" name="Range2"/>
    <protectedRange sqref="E180 B170:U170 B179:U179 B187:U187" name="Range1"/>
  </protectedRanges>
  <dataConsolidate/>
  <mergeCells count="1">
    <mergeCell ref="C2:G2"/>
  </mergeCells>
  <phoneticPr fontId="0" type="noConversion"/>
  <conditionalFormatting sqref="B203:U203">
    <cfRule type="cellIs" dxfId="69" priority="16" stopIfTrue="1" operator="lessThan">
      <formula>-0.2</formula>
    </cfRule>
    <cfRule type="cellIs" dxfId="68" priority="17" stopIfTrue="1" operator="lessThan">
      <formula>-0.2</formula>
    </cfRule>
    <cfRule type="cellIs" dxfId="67" priority="18" stopIfTrue="1" operator="lessThan">
      <formula>-0.585</formula>
    </cfRule>
    <cfRule type="cellIs" dxfId="66" priority="19" stopIfTrue="1" operator="lessThan">
      <formula>-0.585</formula>
    </cfRule>
    <cfRule type="cellIs" dxfId="65" priority="20" stopIfTrue="1" operator="lessThan">
      <formula>-0.585</formula>
    </cfRule>
    <cfRule type="cellIs" dxfId="64" priority="21" stopIfTrue="1" operator="lessThan">
      <formula>-0.2</formula>
    </cfRule>
  </conditionalFormatting>
  <conditionalFormatting sqref="B206:U206 B209:U209 B212:U212 B215:U215">
    <cfRule type="cellIs" dxfId="63" priority="15" stopIfTrue="1" operator="lessThan">
      <formula>-0.2</formula>
    </cfRule>
  </conditionalFormatting>
  <conditionalFormatting sqref="B170:U170">
    <cfRule type="cellIs" dxfId="62" priority="11" stopIfTrue="1" operator="greaterThan">
      <formula>0</formula>
    </cfRule>
  </conditionalFormatting>
  <conditionalFormatting sqref="B179:U179">
    <cfRule type="cellIs" dxfId="61" priority="10" stopIfTrue="1" operator="greaterThan">
      <formula>0</formula>
    </cfRule>
  </conditionalFormatting>
  <conditionalFormatting sqref="B187:U187">
    <cfRule type="cellIs" dxfId="60" priority="7" stopIfTrue="1" operator="greaterThan">
      <formula>0</formula>
    </cfRule>
  </conditionalFormatting>
  <conditionalFormatting sqref="A203:XFD203">
    <cfRule type="cellIs" dxfId="59" priority="6" stopIfTrue="1" operator="lessThan">
      <formula>-0.2</formula>
    </cfRule>
  </conditionalFormatting>
  <conditionalFormatting sqref="A206:XFD206">
    <cfRule type="cellIs" dxfId="58" priority="4" stopIfTrue="1" operator="lessThan">
      <formula>-0.2</formula>
    </cfRule>
    <cfRule type="cellIs" dxfId="57" priority="5" stopIfTrue="1" operator="lessThan">
      <formula>-0.2</formula>
    </cfRule>
  </conditionalFormatting>
  <conditionalFormatting sqref="A209:XFD209">
    <cfRule type="cellIs" dxfId="56" priority="3" stopIfTrue="1" operator="lessThan">
      <formula>-0.2</formula>
    </cfRule>
  </conditionalFormatting>
  <conditionalFormatting sqref="A212:XFD212">
    <cfRule type="cellIs" dxfId="55" priority="2" stopIfTrue="1" operator="lessThan">
      <formula>-0.2</formula>
    </cfRule>
  </conditionalFormatting>
  <conditionalFormatting sqref="A215:XFD215">
    <cfRule type="cellIs" dxfId="54" priority="1" stopIfTrue="1" operator="lessThan">
      <formula>-0.2</formula>
    </cfRule>
  </conditionalFormatting>
  <pageMargins left="0.5" right="0" top="0.5" bottom="0.5" header="0.5" footer="0.5"/>
  <pageSetup orientation="portrait" r:id="rId1"/>
  <headerFooter alignWithMargins="0"/>
  <rowBreaks count="4" manualBreakCount="4">
    <brk id="61" max="16383" man="1"/>
    <brk id="156" max="16383" man="1"/>
    <brk id="197" max="16383" man="1"/>
    <brk id="215"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S104"/>
  <sheetViews>
    <sheetView showZeros="0" topLeftCell="A82" workbookViewId="0">
      <selection activeCell="D93" sqref="D93"/>
    </sheetView>
  </sheetViews>
  <sheetFormatPr defaultRowHeight="12.75" x14ac:dyDescent="0.2"/>
  <cols>
    <col min="1" max="1" width="2.85546875" style="1" customWidth="1"/>
    <col min="2" max="2" width="26.7109375" style="1" customWidth="1"/>
    <col min="3" max="3" width="9.140625" style="1"/>
    <col min="4" max="16" width="8.7109375" style="1" customWidth="1"/>
    <col min="17" max="16384" width="9.140625" style="1"/>
  </cols>
  <sheetData>
    <row r="1" spans="1:18" x14ac:dyDescent="0.2">
      <c r="A1" s="3"/>
      <c r="B1" s="3" t="e">
        <f>#REF!</f>
        <v>#REF!</v>
      </c>
      <c r="C1" s="3"/>
      <c r="D1" s="3"/>
      <c r="E1" s="3"/>
      <c r="F1" s="3"/>
      <c r="G1" s="3"/>
      <c r="H1" s="4" t="s">
        <v>221</v>
      </c>
      <c r="I1" s="3"/>
      <c r="J1" s="3"/>
      <c r="K1" s="3"/>
      <c r="L1" s="3"/>
      <c r="M1" s="3"/>
      <c r="N1" s="3"/>
      <c r="O1" s="3"/>
      <c r="P1" s="3"/>
    </row>
    <row r="2" spans="1:18" x14ac:dyDescent="0.2">
      <c r="A2" s="3"/>
      <c r="B2" s="3"/>
      <c r="C2" s="3"/>
      <c r="D2" s="3"/>
      <c r="E2" s="3"/>
      <c r="F2" s="3"/>
      <c r="G2" s="3"/>
      <c r="H2" s="3"/>
      <c r="I2" s="3"/>
      <c r="J2" s="3"/>
      <c r="K2" s="3"/>
      <c r="L2" s="3"/>
      <c r="M2" s="3"/>
      <c r="N2" s="3"/>
      <c r="O2" s="3"/>
      <c r="P2" s="3"/>
    </row>
    <row r="3" spans="1:18" x14ac:dyDescent="0.2">
      <c r="A3" s="3"/>
      <c r="B3" s="3"/>
      <c r="C3" s="3"/>
      <c r="D3" s="3"/>
      <c r="E3" s="3"/>
      <c r="F3" s="3"/>
      <c r="G3" s="3"/>
      <c r="H3" s="3"/>
      <c r="I3" s="3"/>
      <c r="J3" s="3"/>
      <c r="K3" s="3"/>
      <c r="L3" s="3"/>
      <c r="M3" s="3"/>
      <c r="N3" s="3"/>
      <c r="O3" s="3"/>
      <c r="P3" s="3"/>
    </row>
    <row r="4" spans="1:18" x14ac:dyDescent="0.2">
      <c r="A4" s="3"/>
      <c r="B4" s="3"/>
      <c r="C4" s="5" t="s">
        <v>378</v>
      </c>
      <c r="D4" s="3"/>
      <c r="E4" s="3"/>
      <c r="F4" s="3"/>
      <c r="G4" s="3"/>
      <c r="H4" s="3"/>
      <c r="I4" s="3"/>
      <c r="J4" s="3"/>
      <c r="K4" s="3"/>
      <c r="L4" s="3"/>
      <c r="M4" s="3"/>
      <c r="N4" s="3"/>
      <c r="O4" s="3"/>
      <c r="P4" s="3"/>
    </row>
    <row r="5" spans="1:18" x14ac:dyDescent="0.2">
      <c r="A5" s="3"/>
      <c r="B5" s="3"/>
      <c r="C5" s="5"/>
      <c r="D5" s="5"/>
      <c r="E5" s="5"/>
      <c r="F5" s="5"/>
      <c r="G5" s="5"/>
      <c r="H5" s="3"/>
      <c r="I5" s="3"/>
      <c r="J5" s="3"/>
      <c r="K5" s="3"/>
      <c r="L5" s="3"/>
      <c r="M5" s="3"/>
      <c r="N5" s="3"/>
      <c r="O5" s="3"/>
      <c r="P5" s="3"/>
    </row>
    <row r="6" spans="1:18" x14ac:dyDescent="0.2">
      <c r="A6" s="6"/>
      <c r="B6" s="6" t="e">
        <f>#REF!</f>
        <v>#REF!</v>
      </c>
      <c r="C6" s="3"/>
      <c r="D6" s="3"/>
      <c r="E6" s="3"/>
      <c r="F6" s="4" t="e">
        <f>#REF!</f>
        <v>#REF!</v>
      </c>
      <c r="G6" s="4" t="e">
        <f>#REF!</f>
        <v>#REF!</v>
      </c>
      <c r="H6" s="3"/>
      <c r="I6" s="3"/>
      <c r="J6" s="3"/>
      <c r="K6" s="3"/>
      <c r="L6" s="3"/>
      <c r="M6" s="3"/>
      <c r="N6" s="3"/>
      <c r="O6" s="3"/>
      <c r="P6" s="3"/>
    </row>
    <row r="7" spans="1:18" x14ac:dyDescent="0.2">
      <c r="A7" s="3"/>
      <c r="B7" s="3"/>
      <c r="C7" s="3"/>
      <c r="D7" s="3"/>
      <c r="E7" s="3"/>
      <c r="F7" s="3"/>
      <c r="G7" s="3"/>
      <c r="H7" s="3"/>
      <c r="I7" s="3"/>
      <c r="J7" s="3"/>
      <c r="K7" s="3"/>
      <c r="L7" s="3"/>
      <c r="M7" s="3"/>
      <c r="N7" s="3"/>
      <c r="O7" s="3"/>
      <c r="P7" s="3"/>
    </row>
    <row r="8" spans="1:18" x14ac:dyDescent="0.2">
      <c r="A8" s="3"/>
      <c r="B8" s="3"/>
      <c r="C8" s="3"/>
      <c r="D8" s="3"/>
      <c r="E8" s="3"/>
      <c r="F8" s="3"/>
      <c r="G8" s="3"/>
      <c r="H8" s="3"/>
      <c r="I8" s="3"/>
      <c r="J8" s="3"/>
      <c r="K8" s="3"/>
      <c r="L8" s="3"/>
      <c r="M8" s="3"/>
      <c r="N8" s="3"/>
      <c r="O8" s="3"/>
      <c r="P8" s="3"/>
    </row>
    <row r="9" spans="1:18" x14ac:dyDescent="0.2">
      <c r="A9" s="3"/>
      <c r="B9" s="7" t="e">
        <f>#REF!</f>
        <v>#REF!</v>
      </c>
      <c r="C9" s="8" t="e">
        <f>#REF!</f>
        <v>#REF!</v>
      </c>
      <c r="D9" s="8" t="e">
        <f>#REF!</f>
        <v>#REF!</v>
      </c>
      <c r="E9" s="8" t="e">
        <f>#REF!</f>
        <v>#REF!</v>
      </c>
      <c r="F9" s="8" t="e">
        <f>#REF!</f>
        <v>#REF!</v>
      </c>
      <c r="G9" s="8" t="e">
        <f>#REF!</f>
        <v>#REF!</v>
      </c>
      <c r="H9" s="8" t="e">
        <f>#REF!</f>
        <v>#REF!</v>
      </c>
      <c r="I9" s="8" t="e">
        <f>#REF!</f>
        <v>#REF!</v>
      </c>
      <c r="J9" s="8" t="e">
        <f>#REF!</f>
        <v>#REF!</v>
      </c>
      <c r="K9" s="8" t="e">
        <f>#REF!</f>
        <v>#REF!</v>
      </c>
      <c r="L9" s="8" t="e">
        <f>#REF!</f>
        <v>#REF!</v>
      </c>
      <c r="M9" s="8" t="e">
        <f>#REF!</f>
        <v>#REF!</v>
      </c>
      <c r="N9" s="8" t="e">
        <f>#REF!</f>
        <v>#REF!</v>
      </c>
      <c r="O9" s="8" t="e">
        <f>#REF!</f>
        <v>#REF!</v>
      </c>
      <c r="P9" s="3"/>
    </row>
    <row r="10" spans="1:18" x14ac:dyDescent="0.2">
      <c r="A10" s="3"/>
      <c r="B10" s="3"/>
      <c r="C10" s="9" t="e">
        <f>#REF!</f>
        <v>#REF!</v>
      </c>
      <c r="D10" s="9" t="e">
        <f>#REF!</f>
        <v>#REF!</v>
      </c>
      <c r="E10" s="9" t="e">
        <f>#REF!</f>
        <v>#REF!</v>
      </c>
      <c r="F10" s="9" t="e">
        <f>#REF!</f>
        <v>#REF!</v>
      </c>
      <c r="G10" s="9" t="e">
        <f>#REF!</f>
        <v>#REF!</v>
      </c>
      <c r="H10" s="9" t="e">
        <f>#REF!</f>
        <v>#REF!</v>
      </c>
      <c r="I10" s="9" t="e">
        <f>#REF!</f>
        <v>#REF!</v>
      </c>
      <c r="J10" s="9" t="e">
        <f>#REF!</f>
        <v>#REF!</v>
      </c>
      <c r="K10" s="9" t="e">
        <f>#REF!</f>
        <v>#REF!</v>
      </c>
      <c r="L10" s="9" t="e">
        <f>#REF!</f>
        <v>#REF!</v>
      </c>
      <c r="M10" s="9" t="e">
        <f>#REF!</f>
        <v>#REF!</v>
      </c>
      <c r="N10" s="9" t="e">
        <f>#REF!</f>
        <v>#REF!</v>
      </c>
      <c r="O10" s="9" t="e">
        <f>#REF!</f>
        <v>#REF!</v>
      </c>
      <c r="P10" s="3"/>
    </row>
    <row r="11" spans="1:18" x14ac:dyDescent="0.2">
      <c r="A11" s="3">
        <v>1</v>
      </c>
      <c r="B11" s="10" t="s">
        <v>379</v>
      </c>
      <c r="C11" s="11" t="e">
        <f>#REF!</f>
        <v>#REF!</v>
      </c>
      <c r="D11" s="11" t="e">
        <f>#REF!</f>
        <v>#REF!</v>
      </c>
      <c r="E11" s="11" t="e">
        <f>#REF!</f>
        <v>#REF!</v>
      </c>
      <c r="F11" s="11" t="e">
        <f>#REF!</f>
        <v>#REF!</v>
      </c>
      <c r="G11" s="11" t="e">
        <f>#REF!</f>
        <v>#REF!</v>
      </c>
      <c r="H11" s="11" t="e">
        <f>#REF!</f>
        <v>#REF!</v>
      </c>
      <c r="I11" s="11" t="e">
        <f>#REF!</f>
        <v>#REF!</v>
      </c>
      <c r="J11" s="11" t="e">
        <f>#REF!</f>
        <v>#REF!</v>
      </c>
      <c r="K11" s="11" t="e">
        <f>#REF!</f>
        <v>#REF!</v>
      </c>
      <c r="L11" s="11" t="e">
        <f>#REF!</f>
        <v>#REF!</v>
      </c>
      <c r="M11" s="11" t="e">
        <f>#REF!</f>
        <v>#REF!</v>
      </c>
      <c r="N11" s="11" t="e">
        <f>#REF!</f>
        <v>#REF!</v>
      </c>
      <c r="O11" s="11" t="e">
        <f>#REF!</f>
        <v>#REF!</v>
      </c>
      <c r="P11" s="3"/>
    </row>
    <row r="12" spans="1:18" x14ac:dyDescent="0.2">
      <c r="A12" s="3"/>
      <c r="B12" s="3"/>
      <c r="C12" s="12"/>
      <c r="D12" s="12"/>
      <c r="E12" s="12"/>
      <c r="F12" s="12"/>
      <c r="G12" s="13"/>
      <c r="H12" s="13"/>
      <c r="I12" s="13"/>
      <c r="J12" s="13"/>
      <c r="K12" s="13"/>
      <c r="L12" s="13"/>
      <c r="M12" s="13"/>
      <c r="N12" s="13"/>
      <c r="O12" s="13"/>
      <c r="P12" s="3"/>
    </row>
    <row r="13" spans="1:18" x14ac:dyDescent="0.2">
      <c r="A13" s="3" t="s">
        <v>333</v>
      </c>
      <c r="B13" s="3" t="s">
        <v>380</v>
      </c>
      <c r="C13" s="14" t="e">
        <f>IF(#REF!&lt;&gt;0,(IF(#REF!&gt;=0,#REF!,0)),0)</f>
        <v>#REF!</v>
      </c>
      <c r="D13" s="14" t="e">
        <f>IF(#REF!&lt;&gt;0,(IF(#REF!&gt;=0,#REF!,0)),0)</f>
        <v>#REF!</v>
      </c>
      <c r="E13" s="14" t="e">
        <f>IF(#REF!&lt;&gt;0,(IF(#REF!&gt;=0,#REF!,0)),0)</f>
        <v>#REF!</v>
      </c>
      <c r="F13" s="14" t="e">
        <f>IF(#REF!&lt;&gt;0,(IF(#REF!&gt;=0,#REF!,0)),0)</f>
        <v>#REF!</v>
      </c>
      <c r="G13" s="14" t="e">
        <f>IF(#REF!&lt;&gt;0,(IF(#REF!&gt;=0,#REF!,0)),0)</f>
        <v>#REF!</v>
      </c>
      <c r="H13" s="14" t="e">
        <f>IF(#REF!&lt;&gt;0,(IF(#REF!&gt;=0,#REF!,0)),0)</f>
        <v>#REF!</v>
      </c>
      <c r="I13" s="14" t="e">
        <f>IF(#REF!&lt;&gt;0,(IF(#REF!&gt;=0,#REF!,0)),0)</f>
        <v>#REF!</v>
      </c>
      <c r="J13" s="14" t="e">
        <f>IF(#REF!&lt;&gt;0,(IF(#REF!&gt;=0,#REF!,0)),0)</f>
        <v>#REF!</v>
      </c>
      <c r="K13" s="14" t="e">
        <f>IF(#REF!&lt;&gt;0,(IF(#REF!&gt;=0,#REF!,0)),0)</f>
        <v>#REF!</v>
      </c>
      <c r="L13" s="14" t="e">
        <f>IF(#REF!&lt;&gt;0,(IF(#REF!&gt;=0,#REF!,0)),0)</f>
        <v>#REF!</v>
      </c>
      <c r="M13" s="14" t="e">
        <f>IF(#REF!&lt;&gt;0,(IF(#REF!&gt;=0,#REF!,0)),0)</f>
        <v>#REF!</v>
      </c>
      <c r="N13" s="14" t="e">
        <f>IF(#REF!&lt;&gt;0,(IF(#REF!&gt;=0,#REF!,0)),0)</f>
        <v>#REF!</v>
      </c>
      <c r="O13" s="14" t="e">
        <f>IF(#REF!&lt;&gt;0,(IF(#REF!&gt;=0,#REF!,0)),0)</f>
        <v>#REF!</v>
      </c>
      <c r="P13" s="3"/>
    </row>
    <row r="14" spans="1:18" x14ac:dyDescent="0.2">
      <c r="A14" s="3" t="s">
        <v>334</v>
      </c>
      <c r="B14" s="3" t="s">
        <v>286</v>
      </c>
      <c r="C14" s="14" t="e">
        <f>IF(#REF!&lt;&gt;0,(IF(#REF!&gt;=0,#REF!,0)),0)</f>
        <v>#REF!</v>
      </c>
      <c r="D14" s="14" t="e">
        <f>IF(#REF!&lt;&gt;0,(IF(#REF!&gt;=0,#REF!,0)),0)</f>
        <v>#REF!</v>
      </c>
      <c r="E14" s="14" t="e">
        <f>IF(#REF!&lt;&gt;0,(IF(#REF!&gt;=0,#REF!,0)),0)</f>
        <v>#REF!</v>
      </c>
      <c r="F14" s="14" t="e">
        <f>IF(#REF!&lt;&gt;0,(IF(#REF!&gt;=0,#REF!,0)),0)</f>
        <v>#REF!</v>
      </c>
      <c r="G14" s="14" t="e">
        <f>IF(#REF!&lt;&gt;0,(IF(#REF!&gt;=0,#REF!,0)),0)</f>
        <v>#REF!</v>
      </c>
      <c r="H14" s="14" t="e">
        <f>IF(#REF!&lt;&gt;0,(IF(#REF!&gt;=0,#REF!,0)),0)</f>
        <v>#REF!</v>
      </c>
      <c r="I14" s="14" t="e">
        <f>IF(#REF!&lt;&gt;0,(IF(#REF!&gt;=0,#REF!,0)),0)</f>
        <v>#REF!</v>
      </c>
      <c r="J14" s="14" t="e">
        <f>IF(#REF!&lt;&gt;0,(IF(#REF!&gt;=0,#REF!,0)),0)</f>
        <v>#REF!</v>
      </c>
      <c r="K14" s="14" t="e">
        <f>IF(#REF!&lt;&gt;0,(IF(#REF!&gt;=0,#REF!,0)),0)</f>
        <v>#REF!</v>
      </c>
      <c r="L14" s="14" t="e">
        <f>IF(#REF!&lt;&gt;0,(IF(#REF!&gt;=0,#REF!,0)),0)</f>
        <v>#REF!</v>
      </c>
      <c r="M14" s="14" t="e">
        <f>IF(#REF!&lt;&gt;0,(IF(#REF!&gt;=0,#REF!,0)),0)</f>
        <v>#REF!</v>
      </c>
      <c r="N14" s="14" t="e">
        <f>IF(#REF!&lt;&gt;0,(IF(#REF!&gt;=0,#REF!,0)),0)</f>
        <v>#REF!</v>
      </c>
      <c r="O14" s="14" t="e">
        <f>IF(#REF!&lt;&gt;0,(IF(#REF!&gt;=0,#REF!,0)),0)</f>
        <v>#REF!</v>
      </c>
      <c r="P14" s="3"/>
    </row>
    <row r="15" spans="1:18" x14ac:dyDescent="0.2">
      <c r="A15" s="15" t="s">
        <v>335</v>
      </c>
      <c r="B15" s="3" t="s">
        <v>381</v>
      </c>
      <c r="C15" s="14" t="e">
        <f>IF(#REF!&lt;&gt;0,(IF(#REF!=0,IF((#REF!-#REF!)-(C13-C28)&gt;=0,(#REF!-#REF!)-(C13-C28),0),IF(#REF!-#REF!&gt;=0,#REF!-#REF!,0))),0)</f>
        <v>#REF!</v>
      </c>
      <c r="D15" s="14" t="e">
        <f>IF(#REF!&lt;&gt;0,(IF(#REF!=0,IF((#REF!-#REF!)-(D13-D28)&gt;=0,(#REF!-#REF!)-(D13-D28),0),IF(#REF!-#REF!&gt;=0,#REF!-#REF!,0))),0)</f>
        <v>#REF!</v>
      </c>
      <c r="E15" s="14" t="e">
        <f>IF(#REF!&lt;&gt;0,(IF(#REF!=0,IF((#REF!-#REF!)-(E13-E28)&gt;=0,(#REF!-#REF!)-(E13-E28),0),IF(#REF!-#REF!&gt;=0,#REF!-#REF!,0))),0)</f>
        <v>#REF!</v>
      </c>
      <c r="F15" s="14" t="e">
        <f>IF(#REF!&lt;&gt;0,(IF(#REF!=0,IF((#REF!-#REF!)-(F13-F28)&gt;=0,(#REF!-#REF!)-(F13-F28),0),IF(#REF!-#REF!&gt;=0,#REF!-#REF!,0))),0)</f>
        <v>#REF!</v>
      </c>
      <c r="G15" s="14" t="e">
        <f>IF(#REF!&lt;&gt;0,(IF(#REF!=0,IF((#REF!-#REF!)-(G13-G28)&gt;=0,(#REF!-#REF!)-(G13-G28),0),IF(#REF!-#REF!&gt;=0,#REF!-#REF!,0))),0)</f>
        <v>#REF!</v>
      </c>
      <c r="H15" s="14" t="e">
        <f>IF(#REF!&lt;&gt;0,(IF(#REF!=0,IF((#REF!-#REF!)-(H13-H28)&gt;=0,(#REF!-#REF!)-(H13-H28),0),IF(#REF!-#REF!&gt;=0,#REF!-#REF!,0))),0)</f>
        <v>#REF!</v>
      </c>
      <c r="I15" s="14" t="e">
        <f>IF(#REF!&lt;&gt;0,(IF(#REF!=0,IF((#REF!-#REF!)-(I13-I28)&gt;=0,(#REF!-#REF!)-(I13-I28),0),IF(#REF!-#REF!&gt;=0,#REF!-#REF!,0))),0)</f>
        <v>#REF!</v>
      </c>
      <c r="J15" s="14" t="e">
        <f>IF(#REF!&lt;&gt;0,(IF(#REF!=0,IF((#REF!-#REF!)-(J13-J28)&gt;=0,(#REF!-#REF!)-(J13-J28),0),IF(#REF!-#REF!&gt;=0,#REF!-#REF!,0))),0)</f>
        <v>#REF!</v>
      </c>
      <c r="K15" s="14" t="e">
        <f>IF(#REF!&lt;&gt;0,(IF(#REF!=0,IF((#REF!-#REF!)-(K13-K28)&gt;=0,(#REF!-#REF!)-(K13-K28),0),IF(#REF!-#REF!&gt;=0,#REF!-#REF!,0))),0)</f>
        <v>#REF!</v>
      </c>
      <c r="L15" s="14" t="e">
        <f>IF(#REF!&lt;&gt;0,(IF(#REF!=0,IF((#REF!-#REF!)-(L13-L28)&gt;=0,(#REF!-#REF!)-(L13-L28),0),IF(#REF!-#REF!&gt;=0,#REF!-#REF!,0))),0)</f>
        <v>#REF!</v>
      </c>
      <c r="M15" s="14" t="e">
        <f>IF(#REF!&lt;&gt;0,(IF(#REF!=0,IF((#REF!-#REF!)-(M13-M28)&gt;=0,(#REF!-#REF!)-(M13-M28),0),IF(#REF!-#REF!&gt;=0,#REF!-#REF!,0))),0)</f>
        <v>#REF!</v>
      </c>
      <c r="N15" s="14" t="e">
        <f>IF(#REF!&lt;&gt;0,(IF(#REF!=0,IF((#REF!-#REF!)-(N13-N28)&gt;=0,(#REF!-#REF!)-(N13-N28),0),IF(#REF!-#REF!&gt;=0,#REF!-#REF!,0))),0)</f>
        <v>#REF!</v>
      </c>
      <c r="O15" s="14" t="e">
        <f>IF(#REF!&lt;&gt;0,(IF(#REF!=0,IF((#REF!-#REF!)-(O13-O28)&gt;=0,(#REF!-#REF!)-(O13-O28),0),IF(#REF!-#REF!&gt;=0,#REF!-#REF!,0))),0)</f>
        <v>#REF!</v>
      </c>
      <c r="P15" s="3"/>
    </row>
    <row r="16" spans="1:18" x14ac:dyDescent="0.2">
      <c r="A16" s="3" t="s">
        <v>336</v>
      </c>
      <c r="B16" s="15" t="s">
        <v>240</v>
      </c>
      <c r="C16" s="14" t="e">
        <f>IF(#REF!&lt;&gt;0,(IF(#REF!-#REF!&gt;=0,#REF!-#REF!,0)),0)</f>
        <v>#REF!</v>
      </c>
      <c r="D16" s="14" t="e">
        <f>IF(#REF!&lt;&gt;0,(IF(#REF!-#REF!&gt;=0,#REF!-#REF!,0)),0)</f>
        <v>#REF!</v>
      </c>
      <c r="E16" s="14" t="e">
        <f>IF(#REF!&lt;&gt;0,(IF(#REF!-#REF!&gt;=0,#REF!-#REF!,0)),0)</f>
        <v>#REF!</v>
      </c>
      <c r="F16" s="14" t="e">
        <f>IF(#REF!&lt;&gt;0,(IF(#REF!-#REF!&gt;=0,#REF!-#REF!,0)),0)</f>
        <v>#REF!</v>
      </c>
      <c r="G16" s="14" t="e">
        <f>IF(#REF!&lt;&gt;0,(IF(#REF!-#REF!&gt;=0,#REF!-#REF!,0)),0)</f>
        <v>#REF!</v>
      </c>
      <c r="H16" s="14" t="e">
        <f>IF(#REF!&lt;&gt;0,(IF(#REF!-#REF!&gt;=0,#REF!-#REF!,0)),0)</f>
        <v>#REF!</v>
      </c>
      <c r="I16" s="14" t="e">
        <f>IF(#REF!&lt;&gt;0,(IF(#REF!-#REF!&gt;=0,#REF!-#REF!,0)),0)</f>
        <v>#REF!</v>
      </c>
      <c r="J16" s="14" t="e">
        <f>IF(#REF!&lt;&gt;0,(IF(#REF!-#REF!&gt;=0,#REF!-#REF!,0)),0)</f>
        <v>#REF!</v>
      </c>
      <c r="K16" s="14" t="e">
        <f>IF(#REF!&lt;&gt;0,(IF(#REF!-#REF!&gt;=0,#REF!-#REF!,0)),0)</f>
        <v>#REF!</v>
      </c>
      <c r="L16" s="14" t="e">
        <f>IF(#REF!&lt;&gt;0,(IF(#REF!-#REF!&gt;=0,#REF!-#REF!,0)),0)</f>
        <v>#REF!</v>
      </c>
      <c r="M16" s="14" t="e">
        <f>IF(#REF!&lt;&gt;0,(IF(#REF!-#REF!&gt;=0,#REF!-#REF!,0)),0)</f>
        <v>#REF!</v>
      </c>
      <c r="N16" s="14" t="e">
        <f>IF(#REF!&lt;&gt;0,(IF(#REF!-#REF!&gt;=0,#REF!-#REF!,0)),0)</f>
        <v>#REF!</v>
      </c>
      <c r="O16" s="14" t="e">
        <f>IF(#REF!&lt;&gt;0,(IF(#REF!-#REF!&gt;=0,#REF!-#REF!,0)),0)</f>
        <v>#REF!</v>
      </c>
      <c r="P16" s="16"/>
      <c r="Q16" s="17"/>
      <c r="R16" s="17"/>
    </row>
    <row r="17" spans="1:19" x14ac:dyDescent="0.2">
      <c r="A17" s="3" t="s">
        <v>241</v>
      </c>
      <c r="B17" s="3" t="s">
        <v>133</v>
      </c>
      <c r="C17" s="14" t="e">
        <f>IF(#REF!&lt;&gt;0,(IF(#REF!-#REF!&gt;=0,#REF!-#REF!,0)),0)</f>
        <v>#REF!</v>
      </c>
      <c r="D17" s="14" t="e">
        <f>IF(#REF!&lt;&gt;0,(IF(#REF!-#REF!&gt;=0,#REF!-#REF!,0)),0)</f>
        <v>#REF!</v>
      </c>
      <c r="E17" s="14" t="e">
        <f>IF(#REF!&lt;&gt;0,(IF(#REF!-#REF!&gt;=0,#REF!-#REF!,0)),0)</f>
        <v>#REF!</v>
      </c>
      <c r="F17" s="14" t="e">
        <f>IF(#REF!&lt;&gt;0,(IF(#REF!-#REF!&gt;=0,#REF!-#REF!,0)),0)</f>
        <v>#REF!</v>
      </c>
      <c r="G17" s="14" t="e">
        <f>IF(#REF!&lt;&gt;0,(IF(#REF!-#REF!&gt;=0,#REF!-#REF!,0)),0)</f>
        <v>#REF!</v>
      </c>
      <c r="H17" s="14" t="e">
        <f>IF(#REF!&lt;&gt;0,(IF(#REF!-#REF!&gt;=0,#REF!-#REF!,0)),0)</f>
        <v>#REF!</v>
      </c>
      <c r="I17" s="14" t="e">
        <f>IF(#REF!&lt;&gt;0,(IF(#REF!-#REF!&gt;=0,#REF!-#REF!,0)),0)</f>
        <v>#REF!</v>
      </c>
      <c r="J17" s="14" t="e">
        <f>IF(#REF!&lt;&gt;0,(IF(#REF!-#REF!&gt;=0,#REF!-#REF!,0)),0)</f>
        <v>#REF!</v>
      </c>
      <c r="K17" s="14" t="e">
        <f>IF(#REF!&lt;&gt;0,(IF(#REF!-#REF!&gt;=0,#REF!-#REF!,0)),0)</f>
        <v>#REF!</v>
      </c>
      <c r="L17" s="14" t="e">
        <f>IF(#REF!&lt;&gt;0,(IF(#REF!-#REF!&gt;=0,#REF!-#REF!,0)),0)</f>
        <v>#REF!</v>
      </c>
      <c r="M17" s="14" t="e">
        <f>IF(#REF!&lt;&gt;0,(IF(#REF!-#REF!&gt;=0,#REF!-#REF!,0)),0)</f>
        <v>#REF!</v>
      </c>
      <c r="N17" s="14" t="e">
        <f>IF(#REF!&lt;&gt;0,(IF(#REF!-#REF!&gt;=0,#REF!-#REF!,0)),0)</f>
        <v>#REF!</v>
      </c>
      <c r="O17" s="14" t="e">
        <f>IF(#REF!&lt;&gt;0,(IF(#REF!-#REF!&gt;=0,#REF!-#REF!,0)),0)</f>
        <v>#REF!</v>
      </c>
      <c r="P17" s="3"/>
      <c r="Q17" s="17"/>
      <c r="R17" s="17"/>
      <c r="S17" s="17"/>
    </row>
    <row r="18" spans="1:19" x14ac:dyDescent="0.2">
      <c r="A18" s="3" t="s">
        <v>134</v>
      </c>
      <c r="B18" s="3" t="s">
        <v>135</v>
      </c>
      <c r="C18" s="14" t="e">
        <f>IF(#REF!&lt;&gt;0,(IF(#REF!-#REF!-#REF!&gt;=0,#REF!-#REF!-#REF!,0)),0)</f>
        <v>#REF!</v>
      </c>
      <c r="D18" s="14" t="e">
        <f>IF(#REF!&lt;&gt;0,(IF(#REF!-#REF!-#REF!&gt;=0,#REF!-#REF!-#REF!,0)),0)</f>
        <v>#REF!</v>
      </c>
      <c r="E18" s="14" t="e">
        <f>IF(#REF!&lt;&gt;0,(IF(#REF!-#REF!-#REF!&gt;=0,#REF!-#REF!-#REF!,0)),0)</f>
        <v>#REF!</v>
      </c>
      <c r="F18" s="14" t="e">
        <f>IF(#REF!&lt;&gt;0,(IF(#REF!-#REF!-#REF!&gt;=0,#REF!-#REF!-#REF!,0)),0)</f>
        <v>#REF!</v>
      </c>
      <c r="G18" s="14" t="e">
        <f>IF(#REF!&lt;&gt;0,(IF(#REF!-#REF!-#REF!&gt;=0,#REF!-#REF!-#REF!,0)),0)</f>
        <v>#REF!</v>
      </c>
      <c r="H18" s="14" t="e">
        <f>IF(#REF!&lt;&gt;0,(IF(#REF!-#REF!-#REF!&gt;=0,#REF!-#REF!-#REF!,0)),0)</f>
        <v>#REF!</v>
      </c>
      <c r="I18" s="14" t="e">
        <f>IF(#REF!&lt;&gt;0,(IF(#REF!-#REF!-#REF!&gt;=0,#REF!-#REF!-#REF!,0)),0)</f>
        <v>#REF!</v>
      </c>
      <c r="J18" s="14" t="e">
        <f>IF(#REF!&lt;&gt;0,(IF(#REF!-#REF!-#REF!&gt;=0,#REF!-#REF!-#REF!,0)),0)</f>
        <v>#REF!</v>
      </c>
      <c r="K18" s="14" t="e">
        <f>IF(#REF!&lt;&gt;0,(IF(#REF!-#REF!-#REF!&gt;=0,#REF!-#REF!-#REF!,0)),0)</f>
        <v>#REF!</v>
      </c>
      <c r="L18" s="14" t="e">
        <f>IF(#REF!&lt;&gt;0,(IF(#REF!-#REF!-#REF!&gt;=0,#REF!-#REF!-#REF!,0)),0)</f>
        <v>#REF!</v>
      </c>
      <c r="M18" s="14" t="e">
        <f>IF(#REF!&lt;&gt;0,(IF(#REF!-#REF!-#REF!&gt;=0,#REF!-#REF!-#REF!,0)),0)</f>
        <v>#REF!</v>
      </c>
      <c r="N18" s="14" t="e">
        <f>IF(#REF!&lt;&gt;0,(IF(#REF!-#REF!-#REF!&gt;=0,#REF!-#REF!-#REF!,0)),0)</f>
        <v>#REF!</v>
      </c>
      <c r="O18" s="14" t="e">
        <f>IF(#REF!&lt;&gt;0,(IF(#REF!-#REF!-#REF!&gt;=0,#REF!-#REF!-#REF!,0)),0)</f>
        <v>#REF!</v>
      </c>
      <c r="P18" s="3"/>
      <c r="Q18" s="17"/>
      <c r="R18" s="17"/>
      <c r="S18" s="17"/>
    </row>
    <row r="19" spans="1:19" x14ac:dyDescent="0.2">
      <c r="A19" s="3" t="s">
        <v>136</v>
      </c>
      <c r="B19" s="3" t="s">
        <v>139</v>
      </c>
      <c r="C19" s="14" t="e">
        <f>IF(#REF!&lt;&gt;0,(IF((#REF!-#REF!)+#REF!-((#REF!-#REF!)+#REF!)&gt;=0,(#REF!-#REF!)+#REF!-((#REF!-#REF!)+#REF!),0)),0)</f>
        <v>#REF!</v>
      </c>
      <c r="D19" s="14" t="e">
        <f>IF(#REF!&lt;&gt;0,(IF((#REF!-#REF!)+#REF!-((#REF!-#REF!)+#REF!)&gt;=0,(#REF!-#REF!)+#REF!-((#REF!-#REF!)+#REF!),0)),0)</f>
        <v>#REF!</v>
      </c>
      <c r="E19" s="14" t="e">
        <f>IF(#REF!&lt;&gt;0,(IF((#REF!-#REF!)+#REF!-((#REF!-#REF!)+#REF!)&gt;=0,(#REF!-#REF!)+#REF!-((#REF!-#REF!)+#REF!),0)),0)</f>
        <v>#REF!</v>
      </c>
      <c r="F19" s="14" t="e">
        <f>IF(#REF!&lt;&gt;0,(IF((#REF!-#REF!)+#REF!-((#REF!-#REF!)+#REF!)&gt;=0,(#REF!-#REF!)+#REF!-((#REF!-#REF!)+#REF!),0)),0)</f>
        <v>#REF!</v>
      </c>
      <c r="G19" s="14" t="e">
        <f>IF(#REF!&lt;&gt;0,(IF((#REF!-#REF!)+#REF!-((#REF!-#REF!)+#REF!)&gt;=0,(#REF!-#REF!)+#REF!-((#REF!-#REF!)+#REF!),0)),0)</f>
        <v>#REF!</v>
      </c>
      <c r="H19" s="14" t="e">
        <f>IF(#REF!&lt;&gt;0,(IF((#REF!-#REF!)+#REF!-((#REF!-#REF!)+#REF!)&gt;=0,(#REF!-#REF!)+#REF!-((#REF!-#REF!)+#REF!),0)),0)</f>
        <v>#REF!</v>
      </c>
      <c r="I19" s="14" t="e">
        <f>IF(#REF!&lt;&gt;0,(IF((#REF!-#REF!)+#REF!-((#REF!-#REF!)+#REF!)&gt;=0,(#REF!-#REF!)+#REF!-((#REF!-#REF!)+#REF!),0)),0)</f>
        <v>#REF!</v>
      </c>
      <c r="J19" s="14" t="e">
        <f>IF(#REF!&lt;&gt;0,(IF((#REF!-#REF!)+#REF!-((#REF!-#REF!)+#REF!)&gt;=0,(#REF!-#REF!)+#REF!-((#REF!-#REF!)+#REF!),0)),0)</f>
        <v>#REF!</v>
      </c>
      <c r="K19" s="14" t="e">
        <f>IF(#REF!&lt;&gt;0,(IF((#REF!-#REF!)+#REF!-((#REF!-#REF!)+#REF!)&gt;=0,(#REF!-#REF!)+#REF!-((#REF!-#REF!)+#REF!),0)),0)</f>
        <v>#REF!</v>
      </c>
      <c r="L19" s="14" t="e">
        <f>IF(#REF!&lt;&gt;0,(IF((#REF!-#REF!)+#REF!-((#REF!-#REF!)+#REF!)&gt;=0,(#REF!-#REF!)+#REF!-((#REF!-#REF!)+#REF!),0)),0)</f>
        <v>#REF!</v>
      </c>
      <c r="M19" s="14" t="e">
        <f>IF(#REF!&lt;&gt;0,(IF((#REF!-#REF!)+#REF!-((#REF!-#REF!)+#REF!)&gt;=0,(#REF!-#REF!)+#REF!-((#REF!-#REF!)+#REF!),0)),0)</f>
        <v>#REF!</v>
      </c>
      <c r="N19" s="14" t="e">
        <f>IF(#REF!&lt;&gt;0,(IF((#REF!-#REF!)+#REF!-((#REF!-#REF!)+#REF!)&gt;=0,(#REF!-#REF!)+#REF!-((#REF!-#REF!)+#REF!),0)),0)</f>
        <v>#REF!</v>
      </c>
      <c r="O19" s="14" t="e">
        <f>IF(#REF!&lt;&gt;0,(IF((#REF!-#REF!)+#REF!-((#REF!-#REF!)+#REF!)&gt;=0,(#REF!-#REF!)+#REF!-((#REF!-#REF!)+#REF!),0)),0)</f>
        <v>#REF!</v>
      </c>
      <c r="P19" s="3"/>
    </row>
    <row r="20" spans="1:19" x14ac:dyDescent="0.2">
      <c r="A20" s="3" t="s">
        <v>140</v>
      </c>
      <c r="B20" s="3" t="s">
        <v>110</v>
      </c>
      <c r="C20" s="14" t="e">
        <f>IF(#REF!&lt;&gt;0,(IF((#REF!-#REF!)&gt;0,(#REF!-#REF!),0)),0)</f>
        <v>#REF!</v>
      </c>
      <c r="D20" s="14" t="e">
        <f>IF(#REF!&lt;&gt;0,(IF((#REF!-#REF!)&gt;0,(#REF!-#REF!),0)),0)</f>
        <v>#REF!</v>
      </c>
      <c r="E20" s="14" t="e">
        <f>IF(#REF!&lt;&gt;0,(IF((#REF!-#REF!)&gt;0,(#REF!-#REF!),0)),0)</f>
        <v>#REF!</v>
      </c>
      <c r="F20" s="14" t="e">
        <f>IF(#REF!&lt;&gt;0,(IF((#REF!-#REF!)&gt;0,(#REF!-#REF!),0)),0)</f>
        <v>#REF!</v>
      </c>
      <c r="G20" s="14" t="e">
        <f>IF(#REF!&lt;&gt;0,(IF((#REF!-#REF!)&gt;0,(#REF!-#REF!),0)),0)</f>
        <v>#REF!</v>
      </c>
      <c r="H20" s="14" t="e">
        <f>IF(#REF!&lt;&gt;0,(IF((#REF!-#REF!)&gt;0,(#REF!-#REF!),0)),0)</f>
        <v>#REF!</v>
      </c>
      <c r="I20" s="14" t="e">
        <f>IF(#REF!&lt;&gt;0,(IF((#REF!-#REF!)&gt;0,(#REF!-#REF!),0)),0)</f>
        <v>#REF!</v>
      </c>
      <c r="J20" s="14" t="e">
        <f>IF(#REF!&lt;&gt;0,(IF((#REF!-#REF!)&gt;0,(#REF!-#REF!),0)),0)</f>
        <v>#REF!</v>
      </c>
      <c r="K20" s="14" t="e">
        <f>IF(#REF!&lt;&gt;0,(IF((#REF!-#REF!)&gt;0,(#REF!-#REF!),0)),0)</f>
        <v>#REF!</v>
      </c>
      <c r="L20" s="14" t="e">
        <f>IF(#REF!&lt;&gt;0,(IF((#REF!-#REF!)&gt;0,(#REF!-#REF!),0)),0)</f>
        <v>#REF!</v>
      </c>
      <c r="M20" s="14" t="e">
        <f>IF(#REF!&lt;&gt;0,(IF((#REF!-#REF!)&gt;0,(#REF!-#REF!),0)),0)</f>
        <v>#REF!</v>
      </c>
      <c r="N20" s="14" t="e">
        <f>IF(#REF!&lt;&gt;0,(IF((#REF!-#REF!)&gt;0,(#REF!-#REF!),0)),0)</f>
        <v>#REF!</v>
      </c>
      <c r="O20" s="14" t="e">
        <f>IF(#REF!&lt;&gt;0,(IF((#REF!-#REF!)&gt;0,(#REF!-#REF!),0)),0)</f>
        <v>#REF!</v>
      </c>
      <c r="P20" s="3"/>
    </row>
    <row r="21" spans="1:19" x14ac:dyDescent="0.2">
      <c r="A21" s="3" t="s">
        <v>141</v>
      </c>
      <c r="B21" s="3" t="s">
        <v>165</v>
      </c>
      <c r="C21" s="14" t="e">
        <f>IF(#REF!&lt;&gt;0,(IF((#REF!-#REF!)&gt;=0,(#REF!-#REF!),0)),0)</f>
        <v>#REF!</v>
      </c>
      <c r="D21" s="14" t="e">
        <f>IF(#REF!&lt;&gt;0,(IF((#REF!-#REF!)&gt;=0,(#REF!-#REF!),0)),0)</f>
        <v>#REF!</v>
      </c>
      <c r="E21" s="14" t="e">
        <f>IF(#REF!&lt;&gt;0,(IF((#REF!-#REF!)&gt;=0,(#REF!-#REF!),0)),0)</f>
        <v>#REF!</v>
      </c>
      <c r="F21" s="14" t="e">
        <f>IF(#REF!&lt;&gt;0,(IF((#REF!-#REF!)&gt;=0,(#REF!-#REF!),0)),0)</f>
        <v>#REF!</v>
      </c>
      <c r="G21" s="14" t="e">
        <f>IF(#REF!&lt;&gt;0,(IF((#REF!-#REF!)&gt;=0,(#REF!-#REF!),0)),0)</f>
        <v>#REF!</v>
      </c>
      <c r="H21" s="14" t="e">
        <f>IF(#REF!&lt;&gt;0,(IF((#REF!-#REF!)&gt;=0,(#REF!-#REF!),0)),0)</f>
        <v>#REF!</v>
      </c>
      <c r="I21" s="14" t="e">
        <f>IF(#REF!&lt;&gt;0,(IF((#REF!-#REF!)&gt;=0,(#REF!-#REF!),0)),0)</f>
        <v>#REF!</v>
      </c>
      <c r="J21" s="14" t="e">
        <f>IF(#REF!&lt;&gt;0,(IF((#REF!-#REF!)&gt;=0,(#REF!-#REF!),0)),0)</f>
        <v>#REF!</v>
      </c>
      <c r="K21" s="14" t="e">
        <f>IF(#REF!&lt;&gt;0,(IF((#REF!-#REF!)&gt;=0,(#REF!-#REF!),0)),0)</f>
        <v>#REF!</v>
      </c>
      <c r="L21" s="14" t="e">
        <f>IF(#REF!&lt;&gt;0,(IF((#REF!-#REF!)&gt;=0,(#REF!-#REF!),0)),0)</f>
        <v>#REF!</v>
      </c>
      <c r="M21" s="14" t="e">
        <f>IF(#REF!&lt;&gt;0,(IF((#REF!-#REF!)&gt;=0,(#REF!-#REF!),0)),0)</f>
        <v>#REF!</v>
      </c>
      <c r="N21" s="14" t="e">
        <f>IF(#REF!&lt;&gt;0,(IF((#REF!-#REF!)&gt;=0,(#REF!-#REF!),0)),0)</f>
        <v>#REF!</v>
      </c>
      <c r="O21" s="14" t="e">
        <f>IF(#REF!&lt;&gt;0,(IF((#REF!-#REF!)&gt;=0,(#REF!-#REF!),0)),0)</f>
        <v>#REF!</v>
      </c>
      <c r="P21" s="3"/>
    </row>
    <row r="22" spans="1:19" x14ac:dyDescent="0.2">
      <c r="A22" s="3" t="s">
        <v>142</v>
      </c>
      <c r="B22" s="3" t="s">
        <v>364</v>
      </c>
      <c r="C22" s="18" t="e">
        <f>IF(#REF!&lt;&gt;0,(IF((SUM(#REF!:#REF!)-#REF!)-(SUM(#REF!:#REF!)-#REF!)&gt;0,(SUM(#REF!:#REF!)-#REF!)-(SUM(#REF!:#REF!)-#REF!),0)),0)</f>
        <v>#REF!</v>
      </c>
      <c r="D22" s="18" t="e">
        <f>IF(#REF!&lt;&gt;0,(IF((SUM(#REF!:#REF!)-#REF!)-(SUM(#REF!:#REF!)-#REF!)&gt;0,(SUM(#REF!:#REF!)-#REF!)-(SUM(#REF!:#REF!)-#REF!),0)),0)</f>
        <v>#REF!</v>
      </c>
      <c r="E22" s="18" t="e">
        <f>IF(#REF!&lt;&gt;0,(IF((SUM(#REF!:#REF!)-#REF!)-(SUM(#REF!:#REF!)-#REF!)&gt;0,(SUM(#REF!:#REF!)-#REF!)-(SUM(#REF!:#REF!)-#REF!),0)),0)</f>
        <v>#REF!</v>
      </c>
      <c r="F22" s="18" t="e">
        <f>IF(#REF!&lt;&gt;0,(IF((SUM(#REF!:#REF!)-#REF!)-(SUM(#REF!:#REF!)-#REF!)&gt;0,(SUM(#REF!:#REF!)-#REF!)-(SUM(#REF!:#REF!)-#REF!),0)),0)</f>
        <v>#REF!</v>
      </c>
      <c r="G22" s="18" t="e">
        <f>IF(#REF!&lt;&gt;0,(IF((SUM(#REF!:#REF!)-#REF!)-(SUM(#REF!:#REF!)-#REF!)&gt;0,(SUM(#REF!:#REF!)-#REF!)-(SUM(#REF!:#REF!)-#REF!),0)),0)</f>
        <v>#REF!</v>
      </c>
      <c r="H22" s="18" t="e">
        <f>IF(#REF!&lt;&gt;0,(IF((SUM(#REF!:#REF!)-#REF!)-(SUM(#REF!:#REF!)-#REF!)&gt;0,(SUM(#REF!:#REF!)-#REF!)-(SUM(#REF!:#REF!)-#REF!),0)),0)</f>
        <v>#REF!</v>
      </c>
      <c r="I22" s="18" t="e">
        <f>IF(#REF!&lt;&gt;0,(IF((SUM(#REF!:#REF!)-#REF!)-(SUM(#REF!:#REF!)-#REF!)&gt;0,(SUM(#REF!:#REF!)-#REF!)-(SUM(#REF!:#REF!)-#REF!),0)),0)</f>
        <v>#REF!</v>
      </c>
      <c r="J22" s="18" t="e">
        <f>IF(#REF!&lt;&gt;0,(IF((SUM(#REF!:#REF!)-#REF!)-(SUM(#REF!:#REF!)-#REF!)&gt;0,(SUM(#REF!:#REF!)-#REF!)-(SUM(#REF!:#REF!)-#REF!),0)),0)</f>
        <v>#REF!</v>
      </c>
      <c r="K22" s="18" t="e">
        <f>IF(#REF!&lt;&gt;0,(IF((SUM(#REF!:#REF!)-#REF!)-(SUM(#REF!:#REF!)-#REF!)&gt;0,(SUM(#REF!:#REF!)-#REF!)-(SUM(#REF!:#REF!)-#REF!),0)),0)</f>
        <v>#REF!</v>
      </c>
      <c r="L22" s="18" t="e">
        <f>IF(#REF!&lt;&gt;0,(IF((SUM(#REF!:#REF!)-#REF!)-(SUM(#REF!:#REF!)-#REF!)&gt;0,(SUM(#REF!:#REF!)-#REF!)-(SUM(#REF!:#REF!)-#REF!),0)),0)</f>
        <v>#REF!</v>
      </c>
      <c r="M22" s="18" t="e">
        <f>IF(#REF!&lt;&gt;0,(IF((SUM(#REF!:#REF!)-#REF!)-(SUM(#REF!:#REF!)-#REF!)&gt;0,(SUM(#REF!:#REF!)-#REF!)-(SUM(#REF!:#REF!)-#REF!),0)),0)</f>
        <v>#REF!</v>
      </c>
      <c r="N22" s="18" t="e">
        <f>IF(#REF!&lt;&gt;0,(IF((SUM(#REF!:#REF!)-#REF!)-(SUM(#REF!:#REF!)-#REF!)&gt;0,(SUM(#REF!:#REF!)-#REF!)-(SUM(#REF!:#REF!)-#REF!),0)),0)</f>
        <v>#REF!</v>
      </c>
      <c r="O22" s="18" t="e">
        <f>IF(#REF!&lt;&gt;0,(IF((SUM(#REF!:#REF!)-#REF!)-(SUM(#REF!:#REF!)-#REF!)&gt;0,(SUM(#REF!:#REF!)-#REF!)-(SUM(#REF!:#REF!)-#REF!),0)),0)</f>
        <v>#REF!</v>
      </c>
      <c r="P22" s="3"/>
    </row>
    <row r="23" spans="1:19" x14ac:dyDescent="0.2">
      <c r="A23" s="3"/>
      <c r="B23" s="3"/>
      <c r="C23" s="19"/>
      <c r="D23" s="19"/>
      <c r="E23" s="19"/>
      <c r="F23" s="12"/>
      <c r="G23" s="12"/>
      <c r="H23" s="12"/>
      <c r="I23" s="12"/>
      <c r="J23" s="12"/>
      <c r="K23" s="12"/>
      <c r="L23" s="12"/>
      <c r="M23" s="12"/>
      <c r="N23" s="12"/>
      <c r="O23" s="12"/>
      <c r="P23" s="3"/>
    </row>
    <row r="24" spans="1:19" x14ac:dyDescent="0.2">
      <c r="A24" s="3"/>
      <c r="B24" s="5" t="s">
        <v>258</v>
      </c>
      <c r="C24" s="18" t="e">
        <f t="shared" ref="C24:H24" si="0">SUM(C13:C22)</f>
        <v>#REF!</v>
      </c>
      <c r="D24" s="18" t="e">
        <f t="shared" si="0"/>
        <v>#REF!</v>
      </c>
      <c r="E24" s="18" t="e">
        <f t="shared" si="0"/>
        <v>#REF!</v>
      </c>
      <c r="F24" s="18" t="e">
        <f t="shared" si="0"/>
        <v>#REF!</v>
      </c>
      <c r="G24" s="18" t="e">
        <f t="shared" si="0"/>
        <v>#REF!</v>
      </c>
      <c r="H24" s="18" t="e">
        <f t="shared" si="0"/>
        <v>#REF!</v>
      </c>
      <c r="I24" s="18" t="e">
        <f t="shared" ref="I24:O24" si="1">SUM(I13:I22)</f>
        <v>#REF!</v>
      </c>
      <c r="J24" s="18" t="e">
        <f t="shared" si="1"/>
        <v>#REF!</v>
      </c>
      <c r="K24" s="18" t="e">
        <f t="shared" si="1"/>
        <v>#REF!</v>
      </c>
      <c r="L24" s="18" t="e">
        <f t="shared" si="1"/>
        <v>#REF!</v>
      </c>
      <c r="M24" s="18" t="e">
        <f t="shared" si="1"/>
        <v>#REF!</v>
      </c>
      <c r="N24" s="18" t="e">
        <f t="shared" si="1"/>
        <v>#REF!</v>
      </c>
      <c r="O24" s="18" t="e">
        <f t="shared" si="1"/>
        <v>#REF!</v>
      </c>
      <c r="P24" s="3"/>
    </row>
    <row r="25" spans="1:19" x14ac:dyDescent="0.2">
      <c r="A25" s="3"/>
      <c r="B25" s="3"/>
      <c r="C25" s="12"/>
      <c r="D25" s="12"/>
      <c r="E25" s="12"/>
      <c r="F25" s="12"/>
      <c r="G25" s="13"/>
      <c r="H25" s="13"/>
      <c r="I25" s="13"/>
      <c r="J25" s="13"/>
      <c r="K25" s="13"/>
      <c r="L25" s="13"/>
      <c r="M25" s="13"/>
      <c r="N25" s="13"/>
      <c r="O25" s="13"/>
      <c r="P25" s="3"/>
    </row>
    <row r="26" spans="1:19" x14ac:dyDescent="0.2">
      <c r="A26" s="3">
        <v>2</v>
      </c>
      <c r="B26" s="10" t="s">
        <v>143</v>
      </c>
      <c r="C26" s="20"/>
      <c r="D26" s="20"/>
      <c r="E26" s="20"/>
      <c r="F26" s="20"/>
      <c r="G26" s="21"/>
      <c r="H26" s="21"/>
      <c r="I26" s="21"/>
      <c r="J26" s="21"/>
      <c r="K26" s="21"/>
      <c r="L26" s="21"/>
      <c r="M26" s="21"/>
      <c r="N26" s="21"/>
      <c r="O26" s="21"/>
      <c r="P26" s="3"/>
    </row>
    <row r="27" spans="1:19" x14ac:dyDescent="0.2">
      <c r="A27" s="3"/>
      <c r="B27" s="3"/>
      <c r="C27" s="20"/>
      <c r="D27" s="20"/>
      <c r="E27" s="20"/>
      <c r="F27" s="20"/>
      <c r="G27" s="21"/>
      <c r="H27" s="21"/>
      <c r="I27" s="21"/>
      <c r="J27" s="21"/>
      <c r="K27" s="21"/>
      <c r="L27" s="21"/>
      <c r="M27" s="21"/>
      <c r="N27" s="21"/>
      <c r="O27" s="21"/>
      <c r="P27" s="3"/>
    </row>
    <row r="28" spans="1:19" x14ac:dyDescent="0.2">
      <c r="A28" s="3" t="s">
        <v>333</v>
      </c>
      <c r="B28" s="3" t="s">
        <v>144</v>
      </c>
      <c r="C28" s="14" t="e">
        <f>IF(#REF!&lt;&gt;0,(IF(#REF!&lt;=0,-#REF!,0)),0)</f>
        <v>#REF!</v>
      </c>
      <c r="D28" s="14" t="e">
        <f>IF(#REF!&lt;&gt;0,(IF(#REF!&lt;=0,-#REF!,0)),0)</f>
        <v>#REF!</v>
      </c>
      <c r="E28" s="14" t="e">
        <f>IF(#REF!&lt;&gt;0,(IF(#REF!&lt;=0,-#REF!,0)),0)</f>
        <v>#REF!</v>
      </c>
      <c r="F28" s="14" t="e">
        <f>IF(#REF!&lt;&gt;0,(IF(#REF!&lt;=0,-#REF!,0)),0)</f>
        <v>#REF!</v>
      </c>
      <c r="G28" s="14" t="e">
        <f>IF(#REF!&lt;&gt;0,(IF(#REF!&lt;=0,-#REF!,0)),0)</f>
        <v>#REF!</v>
      </c>
      <c r="H28" s="14" t="e">
        <f>IF(#REF!&lt;&gt;0,(IF(#REF!&lt;=0,-#REF!,0)),0)</f>
        <v>#REF!</v>
      </c>
      <c r="I28" s="14" t="e">
        <f>IF(#REF!&lt;&gt;0,(IF(#REF!&lt;=0,-#REF!,0)),0)</f>
        <v>#REF!</v>
      </c>
      <c r="J28" s="14" t="e">
        <f>IF(#REF!&lt;&gt;0,(IF(#REF!&lt;=0,-#REF!,0)),0)</f>
        <v>#REF!</v>
      </c>
      <c r="K28" s="14" t="e">
        <f>IF(#REF!&lt;&gt;0,(IF(#REF!&lt;=0,-#REF!,0)),0)</f>
        <v>#REF!</v>
      </c>
      <c r="L28" s="14" t="e">
        <f>IF(#REF!&lt;&gt;0,(IF(#REF!&lt;=0,-#REF!,0)),0)</f>
        <v>#REF!</v>
      </c>
      <c r="M28" s="14" t="e">
        <f>IF(#REF!&lt;&gt;0,(IF(#REF!&lt;=0,-#REF!,0)),0)</f>
        <v>#REF!</v>
      </c>
      <c r="N28" s="14" t="e">
        <f>IF(#REF!&lt;&gt;0,(IF(#REF!&lt;=0,-#REF!,0)),0)</f>
        <v>#REF!</v>
      </c>
      <c r="O28" s="14" t="e">
        <f>IF(#REF!&lt;&gt;0,(IF(#REF!&lt;=0,-#REF!,0)),0)</f>
        <v>#REF!</v>
      </c>
      <c r="P28" s="3"/>
    </row>
    <row r="29" spans="1:19" x14ac:dyDescent="0.2">
      <c r="A29" s="3" t="s">
        <v>334</v>
      </c>
      <c r="B29" s="3" t="s">
        <v>145</v>
      </c>
      <c r="C29" s="14" t="e">
        <f>IF(#REF!&lt;&gt;0,#REF!,0)</f>
        <v>#REF!</v>
      </c>
      <c r="D29" s="14" t="e">
        <f>IF(#REF!&lt;&gt;0,#REF!,0)</f>
        <v>#REF!</v>
      </c>
      <c r="E29" s="14" t="e">
        <f>IF(#REF!&lt;&gt;0,#REF!,0)</f>
        <v>#REF!</v>
      </c>
      <c r="F29" s="14" t="e">
        <f>IF(#REF!&lt;&gt;0,#REF!,0)</f>
        <v>#REF!</v>
      </c>
      <c r="G29" s="14" t="e">
        <f>IF(#REF!&lt;&gt;0,#REF!,0)</f>
        <v>#REF!</v>
      </c>
      <c r="H29" s="14" t="e">
        <f>IF(#REF!&lt;&gt;0,#REF!,0)</f>
        <v>#REF!</v>
      </c>
      <c r="I29" s="14" t="e">
        <f>IF(#REF!&lt;&gt;0,#REF!,0)</f>
        <v>#REF!</v>
      </c>
      <c r="J29" s="14" t="e">
        <f>IF(#REF!&lt;&gt;0,#REF!,0)</f>
        <v>#REF!</v>
      </c>
      <c r="K29" s="14" t="e">
        <f>IF(#REF!&lt;&gt;0,#REF!,0)</f>
        <v>#REF!</v>
      </c>
      <c r="L29" s="14" t="e">
        <f>IF(#REF!&lt;&gt;0,#REF!,0)</f>
        <v>#REF!</v>
      </c>
      <c r="M29" s="14" t="e">
        <f>IF(#REF!&lt;&gt;0,#REF!,0)</f>
        <v>#REF!</v>
      </c>
      <c r="N29" s="14" t="e">
        <f>IF(#REF!&lt;&gt;0,#REF!,0)</f>
        <v>#REF!</v>
      </c>
      <c r="O29" s="14" t="e">
        <f>IF(#REF!&lt;&gt;0,#REF!,0)</f>
        <v>#REF!</v>
      </c>
      <c r="P29" s="3"/>
    </row>
    <row r="30" spans="1:19" x14ac:dyDescent="0.2">
      <c r="A30" s="15" t="s">
        <v>335</v>
      </c>
      <c r="B30" s="3" t="s">
        <v>146</v>
      </c>
      <c r="C30" s="14" t="e">
        <f>IF(#REF!&lt;&gt;0,(IF(#REF!=0,IF((#REF!-#REF!)-(C13-C28)&lt;0,(#REF!-#REF!)+(C13-C28),0),IF(#REF!-#REF!&lt;0,#REF!-#REF!,0))),0)</f>
        <v>#REF!</v>
      </c>
      <c r="D30" s="14" t="e">
        <f>IF(#REF!&lt;&gt;0,(IF(#REF!=0,IF((#REF!-#REF!)-(D13-D28)&lt;0,(#REF!-#REF!)+(D13-D28),0),IF(#REF!-#REF!&lt;0,#REF!-#REF!,0))),0)</f>
        <v>#REF!</v>
      </c>
      <c r="E30" s="14" t="e">
        <f>IF(#REF!&lt;&gt;0,(IF(#REF!=0,IF((#REF!-#REF!)-(E13-E28)&lt;0,(#REF!-#REF!)+(E13-E28),0),IF(#REF!-#REF!&lt;0,#REF!-#REF!,0))),0)</f>
        <v>#REF!</v>
      </c>
      <c r="F30" s="14" t="e">
        <f>IF(#REF!&lt;&gt;0,(IF(#REF!=0,IF((#REF!-#REF!)-(F13-F28)&lt;0,(#REF!-#REF!)+(F13-F28),0),IF(#REF!-#REF!&lt;0,#REF!-#REF!,0))),0)</f>
        <v>#REF!</v>
      </c>
      <c r="G30" s="14" t="e">
        <f>IF(#REF!&lt;&gt;0,(IF(#REF!=0,IF((#REF!-#REF!)-(G13-G28)&lt;0,(#REF!-#REF!)+(G13-G28),0),IF(#REF!-#REF!&lt;0,#REF!-#REF!,0))),0)</f>
        <v>#REF!</v>
      </c>
      <c r="H30" s="14" t="e">
        <f>IF(#REF!&lt;&gt;0,(IF(#REF!=0,IF((#REF!-#REF!)-(H13-H28)&lt;0,(#REF!-#REF!)+(H13-H28),0),IF(#REF!-#REF!&lt;0,#REF!-#REF!,0))),0)</f>
        <v>#REF!</v>
      </c>
      <c r="I30" s="14" t="e">
        <f>IF(#REF!&lt;&gt;0,(IF(#REF!=0,IF((#REF!-#REF!)-(I13-I28)&lt;0,(#REF!-#REF!)+(I13-I28),0),IF(#REF!-#REF!&lt;0,#REF!-#REF!,0))),0)</f>
        <v>#REF!</v>
      </c>
      <c r="J30" s="14" t="e">
        <f>IF(#REF!&lt;&gt;0,(IF(#REF!=0,IF((#REF!-#REF!)-(J13-J28)&lt;0,(#REF!-#REF!)+(J13-J28),0),IF(#REF!-#REF!&lt;0,#REF!-#REF!,0))),0)</f>
        <v>#REF!</v>
      </c>
      <c r="K30" s="14" t="e">
        <f>IF(#REF!&lt;&gt;0,(IF(#REF!=0,IF((#REF!-#REF!)-(K13-K28)&lt;0,(#REF!-#REF!)+(K13-K28),0),IF(#REF!-#REF!&lt;0,#REF!-#REF!,0))),0)</f>
        <v>#REF!</v>
      </c>
      <c r="L30" s="14" t="e">
        <f>IF(#REF!&lt;&gt;0,(IF(#REF!=0,IF((#REF!-#REF!)-(L13-L28)&lt;0,(#REF!-#REF!)+(L13-L28),0),IF(#REF!-#REF!&lt;0,#REF!-#REF!,0))),0)</f>
        <v>#REF!</v>
      </c>
      <c r="M30" s="14" t="e">
        <f>IF(#REF!&lt;&gt;0,(IF(#REF!=0,IF((#REF!-#REF!)-(M13-M28)&lt;0,(#REF!-#REF!)+(M13-M28),0),IF(#REF!-#REF!&lt;0,#REF!-#REF!,0))),0)</f>
        <v>#REF!</v>
      </c>
      <c r="N30" s="14" t="e">
        <f>IF(#REF!&lt;&gt;0,(IF(#REF!=0,IF((#REF!-#REF!)-(N13-N28)&lt;0,(#REF!-#REF!)+(N13-N28),0),IF(#REF!-#REF!&lt;0,#REF!-#REF!,0))),0)</f>
        <v>#REF!</v>
      </c>
      <c r="O30" s="14" t="e">
        <f>IF(#REF!&lt;&gt;0,(IF(#REF!=0,IF((#REF!-#REF!)-(O13-O28)&lt;0,(#REF!-#REF!)+(O13-O28),0),IF(#REF!-#REF!&lt;0,#REF!-#REF!,0))),0)</f>
        <v>#REF!</v>
      </c>
      <c r="P30" s="3"/>
    </row>
    <row r="31" spans="1:19" x14ac:dyDescent="0.2">
      <c r="A31" s="3" t="s">
        <v>336</v>
      </c>
      <c r="B31" s="15" t="s">
        <v>147</v>
      </c>
      <c r="C31" s="14" t="e">
        <f>IF(#REF!&lt;&gt;0,(IF(#REF!-#REF!&gt;=0,#REF!-#REF!,0)),0)</f>
        <v>#REF!</v>
      </c>
      <c r="D31" s="14" t="e">
        <f>IF(#REF!&lt;&gt;0,(IF(#REF!-#REF!&gt;=0,#REF!-#REF!,0)),0)</f>
        <v>#REF!</v>
      </c>
      <c r="E31" s="14" t="e">
        <f>IF(#REF!&lt;&gt;0,(IF(#REF!-#REF!&gt;=0,#REF!-#REF!,0)),0)</f>
        <v>#REF!</v>
      </c>
      <c r="F31" s="14" t="e">
        <f>IF(#REF!&lt;&gt;0,(IF(#REF!-#REF!&gt;=0,#REF!-#REF!,0)),0)</f>
        <v>#REF!</v>
      </c>
      <c r="G31" s="14" t="e">
        <f>IF(#REF!&lt;&gt;0,(IF(#REF!-#REF!&gt;=0,#REF!-#REF!,0)),0)</f>
        <v>#REF!</v>
      </c>
      <c r="H31" s="14" t="e">
        <f>IF(#REF!&lt;&gt;0,(IF(#REF!-#REF!&gt;=0,#REF!-#REF!,0)),0)</f>
        <v>#REF!</v>
      </c>
      <c r="I31" s="14" t="e">
        <f>IF(#REF!&lt;&gt;0,(IF(#REF!-#REF!&gt;=0,#REF!-#REF!,0)),0)</f>
        <v>#REF!</v>
      </c>
      <c r="J31" s="14" t="e">
        <f>IF(#REF!&lt;&gt;0,(IF(#REF!-#REF!&gt;=0,#REF!-#REF!,0)),0)</f>
        <v>#REF!</v>
      </c>
      <c r="K31" s="14" t="e">
        <f>IF(#REF!&lt;&gt;0,(IF(#REF!-#REF!&gt;=0,#REF!-#REF!,0)),0)</f>
        <v>#REF!</v>
      </c>
      <c r="L31" s="14" t="e">
        <f>IF(#REF!&lt;&gt;0,(IF(#REF!-#REF!&gt;=0,#REF!-#REF!,0)),0)</f>
        <v>#REF!</v>
      </c>
      <c r="M31" s="14" t="e">
        <f>IF(#REF!&lt;&gt;0,(IF(#REF!-#REF!&gt;=0,#REF!-#REF!,0)),0)</f>
        <v>#REF!</v>
      </c>
      <c r="N31" s="14" t="e">
        <f>IF(#REF!&lt;&gt;0,(IF(#REF!-#REF!&gt;=0,#REF!-#REF!,0)),0)</f>
        <v>#REF!</v>
      </c>
      <c r="O31" s="14" t="e">
        <f>IF(#REF!&lt;&gt;0,(IF(#REF!-#REF!&gt;=0,#REF!-#REF!,0)),0)</f>
        <v>#REF!</v>
      </c>
      <c r="P31" s="3"/>
    </row>
    <row r="32" spans="1:19" x14ac:dyDescent="0.2">
      <c r="A32" s="3"/>
      <c r="B32" s="15" t="s">
        <v>377</v>
      </c>
      <c r="C32" s="20"/>
      <c r="D32" s="20"/>
      <c r="E32" s="20"/>
      <c r="F32" s="20"/>
      <c r="G32" s="20"/>
      <c r="H32" s="20"/>
      <c r="I32" s="20"/>
      <c r="J32" s="20"/>
      <c r="K32" s="20"/>
      <c r="L32" s="20"/>
      <c r="M32" s="20"/>
      <c r="N32" s="20"/>
      <c r="O32" s="20"/>
      <c r="P32" s="3"/>
    </row>
    <row r="33" spans="1:16" x14ac:dyDescent="0.2">
      <c r="A33" s="3" t="s">
        <v>241</v>
      </c>
      <c r="B33" s="3" t="s">
        <v>148</v>
      </c>
      <c r="C33" s="14" t="e">
        <f>IF(#REF!&lt;&gt;0,(IF(#REF!-#REF!&gt;=0,#REF!-#REF!,0)),0)</f>
        <v>#REF!</v>
      </c>
      <c r="D33" s="14" t="e">
        <f>IF(#REF!&lt;&gt;0,(IF(#REF!-#REF!&gt;=0,#REF!-#REF!,0)),0)</f>
        <v>#REF!</v>
      </c>
      <c r="E33" s="14" t="e">
        <f>IF(#REF!&lt;&gt;0,(IF(#REF!-#REF!&gt;=0,#REF!-#REF!,0)),0)</f>
        <v>#REF!</v>
      </c>
      <c r="F33" s="14" t="e">
        <f>IF(#REF!&lt;&gt;0,(IF(#REF!-#REF!&gt;=0,#REF!-#REF!,0)),0)</f>
        <v>#REF!</v>
      </c>
      <c r="G33" s="14" t="e">
        <f>IF(#REF!&lt;&gt;0,(IF(#REF!-#REF!&gt;=0,#REF!-#REF!,0)),0)</f>
        <v>#REF!</v>
      </c>
      <c r="H33" s="14" t="e">
        <f>IF(#REF!&lt;&gt;0,(IF(#REF!-#REF!&gt;=0,#REF!-#REF!,0)),0)</f>
        <v>#REF!</v>
      </c>
      <c r="I33" s="14" t="e">
        <f>IF(#REF!&lt;&gt;0,(IF(#REF!-#REF!&gt;=0,#REF!-#REF!,0)),0)</f>
        <v>#REF!</v>
      </c>
      <c r="J33" s="14" t="e">
        <f>IF(#REF!&lt;&gt;0,(IF(#REF!-#REF!&gt;=0,#REF!-#REF!,0)),0)</f>
        <v>#REF!</v>
      </c>
      <c r="K33" s="14" t="e">
        <f>IF(#REF!&lt;&gt;0,(IF(#REF!-#REF!&gt;=0,#REF!-#REF!,0)),0)</f>
        <v>#REF!</v>
      </c>
      <c r="L33" s="14" t="e">
        <f>IF(#REF!&lt;&gt;0,(IF(#REF!-#REF!&gt;=0,#REF!-#REF!,0)),0)</f>
        <v>#REF!</v>
      </c>
      <c r="M33" s="14" t="e">
        <f>IF(#REF!&lt;&gt;0,(IF(#REF!-#REF!&gt;=0,#REF!-#REF!,0)),0)</f>
        <v>#REF!</v>
      </c>
      <c r="N33" s="14" t="e">
        <f>IF(#REF!&lt;&gt;0,(IF(#REF!-#REF!&gt;=0,#REF!-#REF!,0)),0)</f>
        <v>#REF!</v>
      </c>
      <c r="O33" s="14" t="e">
        <f>IF(#REF!&lt;&gt;0,(IF(#REF!-#REF!&gt;=0,#REF!-#REF!,0)),0)</f>
        <v>#REF!</v>
      </c>
      <c r="P33" s="3"/>
    </row>
    <row r="34" spans="1:16" x14ac:dyDescent="0.2">
      <c r="A34" s="3" t="s">
        <v>134</v>
      </c>
      <c r="B34" s="3" t="s">
        <v>135</v>
      </c>
      <c r="C34" s="14" t="e">
        <f>IF(#REF!&lt;&gt;0,(IF(#REF!+#REF!-#REF!&gt;=0,#REF!+#REF!-#REF!,0)),0)</f>
        <v>#REF!</v>
      </c>
      <c r="D34" s="14" t="e">
        <f>IF(#REF!&lt;&gt;0,(IF(#REF!+#REF!-#REF!&gt;=0,#REF!+#REF!-#REF!,0)),0)</f>
        <v>#REF!</v>
      </c>
      <c r="E34" s="14" t="e">
        <f>IF(#REF!&lt;&gt;0,(IF(#REF!+#REF!-#REF!&gt;=0,#REF!+#REF!-#REF!,0)),0)</f>
        <v>#REF!</v>
      </c>
      <c r="F34" s="14" t="e">
        <f>IF(#REF!&lt;&gt;0,(IF(#REF!+#REF!-#REF!&gt;=0,#REF!+#REF!-#REF!,0)),0)</f>
        <v>#REF!</v>
      </c>
      <c r="G34" s="14" t="e">
        <f>IF(#REF!&lt;&gt;0,(IF(#REF!+#REF!-#REF!&gt;=0,#REF!+#REF!-#REF!,0)),0)</f>
        <v>#REF!</v>
      </c>
      <c r="H34" s="14" t="e">
        <f>IF(#REF!&lt;&gt;0,(IF(#REF!+#REF!-#REF!&gt;=0,#REF!+#REF!-#REF!,0)),0)</f>
        <v>#REF!</v>
      </c>
      <c r="I34" s="14" t="e">
        <f>IF(#REF!&lt;&gt;0,(IF(#REF!+#REF!-#REF!&gt;=0,#REF!+#REF!-#REF!,0)),0)</f>
        <v>#REF!</v>
      </c>
      <c r="J34" s="14" t="e">
        <f>IF(#REF!&lt;&gt;0,(IF(#REF!+#REF!-#REF!&gt;=0,#REF!+#REF!-#REF!,0)),0)</f>
        <v>#REF!</v>
      </c>
      <c r="K34" s="14" t="e">
        <f>IF(#REF!&lt;&gt;0,(IF(#REF!+#REF!-#REF!&gt;=0,#REF!+#REF!-#REF!,0)),0)</f>
        <v>#REF!</v>
      </c>
      <c r="L34" s="14" t="e">
        <f>IF(#REF!&lt;&gt;0,(IF(#REF!+#REF!-#REF!&gt;=0,#REF!+#REF!-#REF!,0)),0)</f>
        <v>#REF!</v>
      </c>
      <c r="M34" s="14" t="e">
        <f>IF(#REF!&lt;&gt;0,(IF(#REF!+#REF!-#REF!&gt;=0,#REF!+#REF!-#REF!,0)),0)</f>
        <v>#REF!</v>
      </c>
      <c r="N34" s="14" t="e">
        <f>IF(#REF!&lt;&gt;0,(IF(#REF!+#REF!-#REF!&gt;=0,#REF!+#REF!-#REF!,0)),0)</f>
        <v>#REF!</v>
      </c>
      <c r="O34" s="14" t="e">
        <f>IF(#REF!&lt;&gt;0,(IF(#REF!+#REF!-#REF!&gt;=0,#REF!+#REF!-#REF!,0)),0)</f>
        <v>#REF!</v>
      </c>
      <c r="P34" s="3"/>
    </row>
    <row r="35" spans="1:16" x14ac:dyDescent="0.2">
      <c r="A35" s="3" t="s">
        <v>136</v>
      </c>
      <c r="B35" s="3" t="s">
        <v>139</v>
      </c>
      <c r="C35" s="14" t="e">
        <f>IF(#REF!&lt;&gt;0,(IF((#REF!-#REF!)+#REF!-((#REF!-#REF!)+#REF!)&gt;=0,(#REF!-#REF!)+#REF!-((#REF!-#REF!)+#REF!),0)),0)</f>
        <v>#REF!</v>
      </c>
      <c r="D35" s="14" t="e">
        <f>IF(#REF!&lt;&gt;0,(IF((#REF!-#REF!)+#REF!-((#REF!-#REF!)+#REF!)&gt;=0,(#REF!-#REF!)+#REF!-((#REF!-#REF!)+#REF!),0)),0)</f>
        <v>#REF!</v>
      </c>
      <c r="E35" s="14" t="e">
        <f>IF(#REF!&lt;&gt;0,(IF((#REF!-#REF!)+#REF!-((#REF!-#REF!)+#REF!)&gt;=0,(#REF!-#REF!)+#REF!-((#REF!-#REF!)+#REF!),0)),0)</f>
        <v>#REF!</v>
      </c>
      <c r="F35" s="14" t="e">
        <f>IF(#REF!&lt;&gt;0,(IF((#REF!-#REF!)+#REF!-((#REF!-#REF!)+#REF!)&gt;=0,(#REF!-#REF!)+#REF!-((#REF!-#REF!)+#REF!),0)),0)</f>
        <v>#REF!</v>
      </c>
      <c r="G35" s="14" t="e">
        <f>IF(#REF!&lt;&gt;0,(IF((#REF!-#REF!)+#REF!-((#REF!-#REF!)+#REF!)&gt;=0,(#REF!-#REF!)+#REF!-((#REF!-#REF!)+#REF!),0)),0)</f>
        <v>#REF!</v>
      </c>
      <c r="H35" s="14" t="e">
        <f>IF(#REF!&lt;&gt;0,(IF((#REF!-#REF!)+#REF!-((#REF!-#REF!)+#REF!)&gt;=0,(#REF!-#REF!)+#REF!-((#REF!-#REF!)+#REF!),0)),0)</f>
        <v>#REF!</v>
      </c>
      <c r="I35" s="14" t="e">
        <f>IF(#REF!&lt;&gt;0,(IF((#REF!-#REF!)+#REF!-((#REF!-#REF!)+#REF!)&gt;=0,(#REF!-#REF!)+#REF!-((#REF!-#REF!)+#REF!),0)),0)</f>
        <v>#REF!</v>
      </c>
      <c r="J35" s="14" t="e">
        <f>IF(#REF!&lt;&gt;0,(IF((#REF!-#REF!)+#REF!-((#REF!-#REF!)+#REF!)&gt;=0,(#REF!-#REF!)+#REF!-((#REF!-#REF!)+#REF!),0)),0)</f>
        <v>#REF!</v>
      </c>
      <c r="K35" s="14" t="e">
        <f>IF(#REF!&lt;&gt;0,(IF((#REF!-#REF!)+#REF!-((#REF!-#REF!)+#REF!)&gt;=0,(#REF!-#REF!)+#REF!-((#REF!-#REF!)+#REF!),0)),0)</f>
        <v>#REF!</v>
      </c>
      <c r="L35" s="14" t="e">
        <f>IF(#REF!&lt;&gt;0,(IF((#REF!-#REF!)+#REF!-((#REF!-#REF!)+#REF!)&gt;=0,(#REF!-#REF!)+#REF!-((#REF!-#REF!)+#REF!),0)),0)</f>
        <v>#REF!</v>
      </c>
      <c r="M35" s="14" t="e">
        <f>IF(#REF!&lt;&gt;0,(IF((#REF!-#REF!)+#REF!-((#REF!-#REF!)+#REF!)&gt;=0,(#REF!-#REF!)+#REF!-((#REF!-#REF!)+#REF!),0)),0)</f>
        <v>#REF!</v>
      </c>
      <c r="N35" s="14" t="e">
        <f>IF(#REF!&lt;&gt;0,(IF((#REF!-#REF!)+#REF!-((#REF!-#REF!)+#REF!)&gt;=0,(#REF!-#REF!)+#REF!-((#REF!-#REF!)+#REF!),0)),0)</f>
        <v>#REF!</v>
      </c>
      <c r="O35" s="14" t="e">
        <f>IF(#REF!&lt;&gt;0,(IF((#REF!-#REF!)+#REF!-((#REF!-#REF!)+#REF!)&gt;=0,(#REF!-#REF!)+#REF!-((#REF!-#REF!)+#REF!),0)),0)</f>
        <v>#REF!</v>
      </c>
      <c r="P35" s="3"/>
    </row>
    <row r="36" spans="1:16" x14ac:dyDescent="0.2">
      <c r="A36" s="3" t="s">
        <v>140</v>
      </c>
      <c r="B36" s="3" t="s">
        <v>149</v>
      </c>
      <c r="C36" s="14" t="e">
        <f>IF(#REF!&lt;&gt;0,(IF((#REF!-#REF!)&gt;0,(#REF!-#REF!),0)),0)</f>
        <v>#REF!</v>
      </c>
      <c r="D36" s="14" t="e">
        <f>IF(#REF!&lt;&gt;0,(IF((#REF!-#REF!)&gt;0,(#REF!-#REF!),0)),0)</f>
        <v>#REF!</v>
      </c>
      <c r="E36" s="14" t="e">
        <f>IF(#REF!&lt;&gt;0,(IF((#REF!-#REF!)&gt;0,(#REF!-#REF!),0)),0)</f>
        <v>#REF!</v>
      </c>
      <c r="F36" s="14" t="e">
        <f>IF(#REF!&lt;&gt;0,(IF((#REF!-#REF!)&gt;0,(#REF!-#REF!),0)),0)</f>
        <v>#REF!</v>
      </c>
      <c r="G36" s="14" t="e">
        <f>IF(#REF!&lt;&gt;0,(IF((#REF!-#REF!)&gt;0,(#REF!-#REF!),0)),0)</f>
        <v>#REF!</v>
      </c>
      <c r="H36" s="14" t="e">
        <f>IF(#REF!&lt;&gt;0,(IF((#REF!-#REF!)&gt;0,(#REF!-#REF!),0)),0)</f>
        <v>#REF!</v>
      </c>
      <c r="I36" s="14" t="e">
        <f>IF(#REF!&lt;&gt;0,(IF((#REF!-#REF!)&gt;0,(#REF!-#REF!),0)),0)</f>
        <v>#REF!</v>
      </c>
      <c r="J36" s="14" t="e">
        <f>IF(#REF!&lt;&gt;0,(IF((#REF!-#REF!)&gt;0,(#REF!-#REF!),0)),0)</f>
        <v>#REF!</v>
      </c>
      <c r="K36" s="14" t="e">
        <f>IF(#REF!&lt;&gt;0,(IF((#REF!-#REF!)&gt;0,(#REF!-#REF!),0)),0)</f>
        <v>#REF!</v>
      </c>
      <c r="L36" s="14" t="e">
        <f>IF(#REF!&lt;&gt;0,(IF((#REF!-#REF!)&gt;0,(#REF!-#REF!),0)),0)</f>
        <v>#REF!</v>
      </c>
      <c r="M36" s="14" t="e">
        <f>IF(#REF!&lt;&gt;0,(IF((#REF!-#REF!)&gt;0,(#REF!-#REF!),0)),0)</f>
        <v>#REF!</v>
      </c>
      <c r="N36" s="14" t="e">
        <f>IF(#REF!&lt;&gt;0,(IF((#REF!-#REF!)&gt;0,(#REF!-#REF!),0)),0)</f>
        <v>#REF!</v>
      </c>
      <c r="O36" s="14" t="e">
        <f>IF(#REF!&lt;&gt;0,(IF((#REF!-#REF!)&gt;0,(#REF!-#REF!),0)),0)</f>
        <v>#REF!</v>
      </c>
      <c r="P36" s="3"/>
    </row>
    <row r="37" spans="1:16" x14ac:dyDescent="0.2">
      <c r="A37" s="3" t="s">
        <v>141</v>
      </c>
      <c r="B37" s="3" t="s">
        <v>150</v>
      </c>
      <c r="C37" s="14" t="e">
        <f>IF(#REF!&lt;&gt;0,(IF((#REF!-#REF!)&gt;=0,(#REF!-#REF!),0)),0)</f>
        <v>#REF!</v>
      </c>
      <c r="D37" s="14" t="e">
        <f>IF(#REF!&lt;&gt;0,(IF((#REF!-#REF!)&gt;=0,(#REF!-#REF!),0)),0)</f>
        <v>#REF!</v>
      </c>
      <c r="E37" s="14" t="e">
        <f>IF(#REF!&lt;&gt;0,(IF((#REF!-#REF!)&gt;=0,(#REF!-#REF!),0)),0)</f>
        <v>#REF!</v>
      </c>
      <c r="F37" s="14" t="e">
        <f>IF(#REF!&lt;&gt;0,(IF((#REF!-#REF!)&gt;=0,(#REF!-#REF!),0)),0)</f>
        <v>#REF!</v>
      </c>
      <c r="G37" s="14" t="e">
        <f>IF(#REF!&lt;&gt;0,(IF((#REF!-#REF!)&gt;=0,(#REF!-#REF!),0)),0)</f>
        <v>#REF!</v>
      </c>
      <c r="H37" s="14" t="e">
        <f>IF(#REF!&lt;&gt;0,(IF((#REF!-#REF!)&gt;=0,(#REF!-#REF!),0)),0)</f>
        <v>#REF!</v>
      </c>
      <c r="I37" s="14" t="e">
        <f>IF(#REF!&lt;&gt;0,(IF((#REF!-#REF!)&gt;=0,(#REF!-#REF!),0)),0)</f>
        <v>#REF!</v>
      </c>
      <c r="J37" s="14" t="e">
        <f>IF(#REF!&lt;&gt;0,(IF((#REF!-#REF!)&gt;=0,(#REF!-#REF!),0)),0)</f>
        <v>#REF!</v>
      </c>
      <c r="K37" s="14" t="e">
        <f>IF(#REF!&lt;&gt;0,(IF((#REF!-#REF!)&gt;=0,(#REF!-#REF!),0)),0)</f>
        <v>#REF!</v>
      </c>
      <c r="L37" s="14" t="e">
        <f>IF(#REF!&lt;&gt;0,(IF((#REF!-#REF!)&gt;=0,(#REF!-#REF!),0)),0)</f>
        <v>#REF!</v>
      </c>
      <c r="M37" s="14" t="e">
        <f>IF(#REF!&lt;&gt;0,(IF((#REF!-#REF!)&gt;=0,(#REF!-#REF!),0)),0)</f>
        <v>#REF!</v>
      </c>
      <c r="N37" s="14" t="e">
        <f>IF(#REF!&lt;&gt;0,(IF((#REF!-#REF!)&gt;=0,(#REF!-#REF!),0)),0)</f>
        <v>#REF!</v>
      </c>
      <c r="O37" s="14" t="e">
        <f>IF(#REF!&lt;&gt;0,(IF((#REF!-#REF!)&gt;=0,(#REF!-#REF!),0)),0)</f>
        <v>#REF!</v>
      </c>
      <c r="P37" s="3"/>
    </row>
    <row r="38" spans="1:16" x14ac:dyDescent="0.2">
      <c r="A38" s="3" t="s">
        <v>142</v>
      </c>
      <c r="B38" s="3" t="s">
        <v>364</v>
      </c>
      <c r="C38" s="18" t="e">
        <f>IF(#REF!&lt;&gt;0,(IF((SUM(#REF!:#REF!)-#REF!)-(SUM(#REF!:#REF!)-#REF!)&gt;0,(SUM(#REF!:#REF!)-#REF!)-(SUM(#REF!:#REF!)-#REF!),0)),0)</f>
        <v>#REF!</v>
      </c>
      <c r="D38" s="18" t="e">
        <f>IF(#REF!&lt;&gt;0,(IF((SUM(#REF!:#REF!)-#REF!)-(SUM(#REF!:#REF!)-#REF!)&gt;0,(SUM(#REF!:#REF!)-#REF!)-(SUM(#REF!:#REF!)-#REF!),0)),0)</f>
        <v>#REF!</v>
      </c>
      <c r="E38" s="18" t="e">
        <f>IF(#REF!&lt;&gt;0,(IF((SUM(#REF!:#REF!)-#REF!)-(SUM(#REF!:#REF!)-#REF!)&gt;0,(SUM(#REF!:#REF!)-#REF!)-(SUM(#REF!:#REF!)-#REF!),0)),0)</f>
        <v>#REF!</v>
      </c>
      <c r="F38" s="18" t="e">
        <f>IF(#REF!&lt;&gt;0,(IF((SUM(#REF!:#REF!)-#REF!)-(SUM(#REF!:#REF!)-#REF!)&gt;0,(SUM(#REF!:#REF!)-#REF!)-(SUM(#REF!:#REF!)-#REF!),0)),0)</f>
        <v>#REF!</v>
      </c>
      <c r="G38" s="18" t="e">
        <f>IF(#REF!&lt;&gt;0,(IF((SUM(#REF!:#REF!)-#REF!)-(SUM(#REF!:#REF!)-#REF!)&gt;0,(SUM(#REF!:#REF!)-#REF!)-(SUM(#REF!:#REF!)-#REF!),0)),0)</f>
        <v>#REF!</v>
      </c>
      <c r="H38" s="18" t="e">
        <f>IF(#REF!&lt;&gt;0,(IF((SUM(#REF!:#REF!)-#REF!)-(SUM(#REF!:#REF!)-#REF!)&gt;0,(SUM(#REF!:#REF!)-#REF!)-(SUM(#REF!:#REF!)-#REF!),0)),0)</f>
        <v>#REF!</v>
      </c>
      <c r="I38" s="18" t="e">
        <f>IF(#REF!&lt;&gt;0,(IF((SUM(#REF!:#REF!)-#REF!)-(SUM(#REF!:#REF!)-#REF!)&gt;0,(SUM(#REF!:#REF!)-#REF!)-(SUM(#REF!:#REF!)-#REF!),0)),0)</f>
        <v>#REF!</v>
      </c>
      <c r="J38" s="18" t="e">
        <f>IF(#REF!&lt;&gt;0,(IF((SUM(#REF!:#REF!)-#REF!)-(SUM(#REF!:#REF!)-#REF!)&gt;0,(SUM(#REF!:#REF!)-#REF!)-(SUM(#REF!:#REF!)-#REF!),0)),0)</f>
        <v>#REF!</v>
      </c>
      <c r="K38" s="18" t="e">
        <f>IF(#REF!&lt;&gt;0,(IF((SUM(#REF!:#REF!)-#REF!)-(SUM(#REF!:#REF!)-#REF!)&gt;0,(SUM(#REF!:#REF!)-#REF!)-(SUM(#REF!:#REF!)-#REF!),0)),0)</f>
        <v>#REF!</v>
      </c>
      <c r="L38" s="18" t="e">
        <f>IF(#REF!&lt;&gt;0,(IF((SUM(#REF!:#REF!)-#REF!)-(SUM(#REF!:#REF!)-#REF!)&gt;0,(SUM(#REF!:#REF!)-#REF!)-(SUM(#REF!:#REF!)-#REF!),0)),0)</f>
        <v>#REF!</v>
      </c>
      <c r="M38" s="18" t="e">
        <f>IF(#REF!&lt;&gt;0,(IF((SUM(#REF!:#REF!)-#REF!)-(SUM(#REF!:#REF!)-#REF!)&gt;0,(SUM(#REF!:#REF!)-#REF!)-(SUM(#REF!:#REF!)-#REF!),0)),0)</f>
        <v>#REF!</v>
      </c>
      <c r="N38" s="18" t="e">
        <f>IF(#REF!&lt;&gt;0,(IF((SUM(#REF!:#REF!)-#REF!)-(SUM(#REF!:#REF!)-#REF!)&gt;0,(SUM(#REF!:#REF!)-#REF!)-(SUM(#REF!:#REF!)-#REF!),0)),0)</f>
        <v>#REF!</v>
      </c>
      <c r="O38" s="18" t="e">
        <f>IF(#REF!&lt;&gt;0,(IF((SUM(#REF!:#REF!)-#REF!)-(SUM(#REF!:#REF!)-#REF!)&gt;0,(SUM(#REF!:#REF!)-#REF!)-(SUM(#REF!:#REF!)-#REF!),0)),0)</f>
        <v>#REF!</v>
      </c>
      <c r="P38" s="3"/>
    </row>
    <row r="39" spans="1:16" x14ac:dyDescent="0.2">
      <c r="A39" s="3"/>
      <c r="B39" s="3"/>
      <c r="C39" s="12"/>
      <c r="D39" s="12"/>
      <c r="E39" s="12"/>
      <c r="F39" s="12"/>
      <c r="G39" s="13"/>
      <c r="H39" s="13"/>
      <c r="I39" s="13"/>
      <c r="J39" s="13"/>
      <c r="K39" s="13"/>
      <c r="L39" s="13"/>
      <c r="M39" s="13"/>
      <c r="N39" s="13"/>
      <c r="O39" s="13"/>
      <c r="P39" s="3"/>
    </row>
    <row r="40" spans="1:16" x14ac:dyDescent="0.2">
      <c r="A40" s="3"/>
      <c r="B40" s="5" t="s">
        <v>258</v>
      </c>
      <c r="C40" s="18" t="e">
        <f t="shared" ref="C40:H40" si="2">SUM(C28:C38)</f>
        <v>#REF!</v>
      </c>
      <c r="D40" s="18" t="e">
        <f t="shared" si="2"/>
        <v>#REF!</v>
      </c>
      <c r="E40" s="18" t="e">
        <f t="shared" si="2"/>
        <v>#REF!</v>
      </c>
      <c r="F40" s="18" t="e">
        <f t="shared" si="2"/>
        <v>#REF!</v>
      </c>
      <c r="G40" s="18" t="e">
        <f t="shared" si="2"/>
        <v>#REF!</v>
      </c>
      <c r="H40" s="18" t="e">
        <f t="shared" si="2"/>
        <v>#REF!</v>
      </c>
      <c r="I40" s="18" t="e">
        <f t="shared" ref="I40:O40" si="3">SUM(I28:I38)</f>
        <v>#REF!</v>
      </c>
      <c r="J40" s="18" t="e">
        <f t="shared" si="3"/>
        <v>#REF!</v>
      </c>
      <c r="K40" s="18" t="e">
        <f t="shared" si="3"/>
        <v>#REF!</v>
      </c>
      <c r="L40" s="18" t="e">
        <f t="shared" si="3"/>
        <v>#REF!</v>
      </c>
      <c r="M40" s="18" t="e">
        <f t="shared" si="3"/>
        <v>#REF!</v>
      </c>
      <c r="N40" s="18" t="e">
        <f t="shared" si="3"/>
        <v>#REF!</v>
      </c>
      <c r="O40" s="18" t="e">
        <f t="shared" si="3"/>
        <v>#REF!</v>
      </c>
      <c r="P40" s="3"/>
    </row>
    <row r="41" spans="1:16" x14ac:dyDescent="0.2">
      <c r="A41" s="3"/>
      <c r="B41" s="22" t="s">
        <v>71</v>
      </c>
      <c r="C41" s="23" t="e">
        <f>IF(#REF!&lt;&gt;0,(IF((#REF!-#REF!)=C42,0,#REF!-#REF!)),0)</f>
        <v>#REF!</v>
      </c>
      <c r="D41" s="23" t="e">
        <f>IF(#REF!&lt;&gt;0,(IF((#REF!-#REF!)=D42,0,#REF!-#REF!)),0)</f>
        <v>#REF!</v>
      </c>
      <c r="E41" s="23" t="e">
        <f>IF(#REF!&lt;&gt;0,(IF((#REF!-#REF!)=E42,0,#REF!-#REF!)),0)</f>
        <v>#REF!</v>
      </c>
      <c r="F41" s="23" t="e">
        <f>IF(#REF!&lt;&gt;0,(IF((#REF!-#REF!)=F42,0,#REF!-#REF!)),0)</f>
        <v>#REF!</v>
      </c>
      <c r="G41" s="23" t="e">
        <f>IF(#REF!&lt;&gt;0,(IF((#REF!-#REF!)=G42,0,#REF!-#REF!)),0)</f>
        <v>#REF!</v>
      </c>
      <c r="H41" s="23" t="e">
        <f>IF(#REF!&lt;&gt;0,(IF((#REF!-#REF!)=H42,0,#REF!-#REF!)),0)</f>
        <v>#REF!</v>
      </c>
      <c r="I41" s="23" t="e">
        <f>IF(#REF!&lt;&gt;0,(IF((#REF!-#REF!)=I42,0,#REF!-#REF!)),0)</f>
        <v>#REF!</v>
      </c>
      <c r="J41" s="23" t="e">
        <f>IF(#REF!&lt;&gt;0,(IF((#REF!-#REF!)=J42,0,#REF!-#REF!)),0)</f>
        <v>#REF!</v>
      </c>
      <c r="K41" s="23" t="e">
        <f>IF(#REF!&lt;&gt;0,(IF((#REF!-#REF!)=K42,0,#REF!-#REF!)),0)</f>
        <v>#REF!</v>
      </c>
      <c r="L41" s="23" t="e">
        <f>IF(#REF!&lt;&gt;0,(IF((#REF!-#REF!)=L42,0,#REF!-#REF!)),0)</f>
        <v>#REF!</v>
      </c>
      <c r="M41" s="23" t="e">
        <f>IF(#REF!&lt;&gt;0,(IF((#REF!-#REF!)=M42,0,#REF!-#REF!)),0)</f>
        <v>#REF!</v>
      </c>
      <c r="N41" s="23" t="e">
        <f>IF(#REF!&lt;&gt;0,(IF((#REF!-#REF!)=N42,0,#REF!-#REF!)),0)</f>
        <v>#REF!</v>
      </c>
      <c r="O41" s="23" t="e">
        <f>IF(#REF!&lt;&gt;0,(IF((#REF!-#REF!)=O42,0,#REF!-#REF!)),0)</f>
        <v>#REF!</v>
      </c>
      <c r="P41" s="3"/>
    </row>
    <row r="42" spans="1:16" x14ac:dyDescent="0.2">
      <c r="A42" s="3">
        <v>3</v>
      </c>
      <c r="B42" s="3" t="s">
        <v>151</v>
      </c>
      <c r="C42" s="24" t="e">
        <f t="shared" ref="C42:O42" si="4">C24-C40</f>
        <v>#REF!</v>
      </c>
      <c r="D42" s="24" t="e">
        <f t="shared" si="4"/>
        <v>#REF!</v>
      </c>
      <c r="E42" s="24" t="e">
        <f t="shared" si="4"/>
        <v>#REF!</v>
      </c>
      <c r="F42" s="24" t="e">
        <f t="shared" si="4"/>
        <v>#REF!</v>
      </c>
      <c r="G42" s="24" t="e">
        <f t="shared" si="4"/>
        <v>#REF!</v>
      </c>
      <c r="H42" s="24" t="e">
        <f t="shared" si="4"/>
        <v>#REF!</v>
      </c>
      <c r="I42" s="24" t="e">
        <f t="shared" si="4"/>
        <v>#REF!</v>
      </c>
      <c r="J42" s="24" t="e">
        <f t="shared" si="4"/>
        <v>#REF!</v>
      </c>
      <c r="K42" s="24" t="e">
        <f t="shared" si="4"/>
        <v>#REF!</v>
      </c>
      <c r="L42" s="24" t="e">
        <f t="shared" si="4"/>
        <v>#REF!</v>
      </c>
      <c r="M42" s="24" t="e">
        <f t="shared" si="4"/>
        <v>#REF!</v>
      </c>
      <c r="N42" s="24" t="e">
        <f t="shared" si="4"/>
        <v>#REF!</v>
      </c>
      <c r="O42" s="24" t="e">
        <f t="shared" si="4"/>
        <v>#REF!</v>
      </c>
      <c r="P42" s="3"/>
    </row>
    <row r="43" spans="1:16" x14ac:dyDescent="0.2">
      <c r="A43" s="3"/>
      <c r="B43" s="3"/>
      <c r="C43" s="19"/>
      <c r="D43" s="19"/>
      <c r="E43" s="19"/>
      <c r="F43" s="19"/>
      <c r="G43" s="19"/>
      <c r="H43" s="19"/>
      <c r="I43" s="19"/>
      <c r="J43" s="19"/>
      <c r="K43" s="19"/>
      <c r="L43" s="19"/>
      <c r="M43" s="19"/>
      <c r="N43" s="19"/>
      <c r="O43" s="19"/>
      <c r="P43" s="3"/>
    </row>
    <row r="44" spans="1:16" x14ac:dyDescent="0.2">
      <c r="A44" s="3">
        <v>4</v>
      </c>
      <c r="B44" s="15" t="s">
        <v>169</v>
      </c>
      <c r="C44" s="14" t="e">
        <f>IF(#REF!&lt;&gt;0,#REF!-#REF!,0)</f>
        <v>#REF!</v>
      </c>
      <c r="D44" s="14" t="e">
        <f>IF(#REF!&lt;&gt;0,#REF!-#REF!,0)</f>
        <v>#REF!</v>
      </c>
      <c r="E44" s="14" t="e">
        <f>IF(#REF!&lt;&gt;0,#REF!-#REF!,0)</f>
        <v>#REF!</v>
      </c>
      <c r="F44" s="14" t="e">
        <f>IF(#REF!&lt;&gt;0,#REF!-#REF!,0)</f>
        <v>#REF!</v>
      </c>
      <c r="G44" s="14" t="e">
        <f>IF(#REF!&lt;&gt;0,#REF!-#REF!,0)</f>
        <v>#REF!</v>
      </c>
      <c r="H44" s="14" t="e">
        <f>IF(#REF!&lt;&gt;0,#REF!-#REF!,0)</f>
        <v>#REF!</v>
      </c>
      <c r="I44" s="14" t="e">
        <f>IF(#REF!&lt;&gt;0,#REF!-#REF!,0)</f>
        <v>#REF!</v>
      </c>
      <c r="J44" s="14" t="e">
        <f>IF(#REF!&lt;&gt;0,#REF!-#REF!,0)</f>
        <v>#REF!</v>
      </c>
      <c r="K44" s="14" t="e">
        <f>IF(#REF!&lt;&gt;0,#REF!-#REF!,0)</f>
        <v>#REF!</v>
      </c>
      <c r="L44" s="14" t="e">
        <f>IF(#REF!&lt;&gt;0,#REF!-#REF!,0)</f>
        <v>#REF!</v>
      </c>
      <c r="M44" s="14" t="e">
        <f>IF(#REF!&lt;&gt;0,#REF!-#REF!,0)</f>
        <v>#REF!</v>
      </c>
      <c r="N44" s="14" t="e">
        <f>IF(#REF!&lt;&gt;0,#REF!-#REF!,0)</f>
        <v>#REF!</v>
      </c>
      <c r="O44" s="14" t="e">
        <f>IF(#REF!&lt;&gt;0,#REF!-#REF!,0)</f>
        <v>#REF!</v>
      </c>
      <c r="P44" s="3"/>
    </row>
    <row r="45" spans="1:16" x14ac:dyDescent="0.2">
      <c r="A45" s="3">
        <v>5</v>
      </c>
      <c r="B45" s="15" t="s">
        <v>170</v>
      </c>
      <c r="C45" s="14" t="e">
        <f>IF(#REF!&lt;&gt;0,#REF!-#REF!,0)</f>
        <v>#REF!</v>
      </c>
      <c r="D45" s="14" t="e">
        <f>IF(#REF!&lt;&gt;0,#REF!-#REF!,0)</f>
        <v>#REF!</v>
      </c>
      <c r="E45" s="14" t="e">
        <f>IF(#REF!&lt;&gt;0,#REF!-#REF!,0)</f>
        <v>#REF!</v>
      </c>
      <c r="F45" s="14" t="e">
        <f>IF(#REF!&lt;&gt;0,#REF!-#REF!,0)</f>
        <v>#REF!</v>
      </c>
      <c r="G45" s="14" t="e">
        <f>IF(#REF!&lt;&gt;0,#REF!-#REF!,0)</f>
        <v>#REF!</v>
      </c>
      <c r="H45" s="14" t="e">
        <f>IF(#REF!&lt;&gt;0,#REF!-#REF!,0)</f>
        <v>#REF!</v>
      </c>
      <c r="I45" s="14" t="e">
        <f>IF(#REF!&lt;&gt;0,#REF!-#REF!,0)</f>
        <v>#REF!</v>
      </c>
      <c r="J45" s="14" t="e">
        <f>IF(#REF!&lt;&gt;0,#REF!-#REF!,0)</f>
        <v>#REF!</v>
      </c>
      <c r="K45" s="14" t="e">
        <f>IF(#REF!&lt;&gt;0,#REF!-#REF!,0)</f>
        <v>#REF!</v>
      </c>
      <c r="L45" s="14" t="e">
        <f>IF(#REF!&lt;&gt;0,#REF!-#REF!,0)</f>
        <v>#REF!</v>
      </c>
      <c r="M45" s="14" t="e">
        <f>IF(#REF!&lt;&gt;0,#REF!-#REF!,0)</f>
        <v>#REF!</v>
      </c>
      <c r="N45" s="14" t="e">
        <f>IF(#REF!&lt;&gt;0,#REF!-#REF!,0)</f>
        <v>#REF!</v>
      </c>
      <c r="O45" s="14" t="e">
        <f>IF(#REF!&lt;&gt;0,#REF!-#REF!,0)</f>
        <v>#REF!</v>
      </c>
      <c r="P45" s="3"/>
    </row>
    <row r="46" spans="1:16" x14ac:dyDescent="0.2">
      <c r="A46" s="3"/>
      <c r="B46" s="3" t="s">
        <v>171</v>
      </c>
      <c r="C46" s="20"/>
      <c r="D46" s="20"/>
      <c r="E46" s="20"/>
      <c r="F46" s="20"/>
      <c r="G46" s="20"/>
      <c r="H46" s="20"/>
      <c r="I46" s="20"/>
      <c r="J46" s="20"/>
      <c r="K46" s="20"/>
      <c r="L46" s="20"/>
      <c r="M46" s="20"/>
      <c r="N46" s="20"/>
      <c r="O46" s="20"/>
      <c r="P46" s="3"/>
    </row>
    <row r="47" spans="1:16" x14ac:dyDescent="0.2">
      <c r="A47" s="3">
        <v>6</v>
      </c>
      <c r="B47" s="15" t="s">
        <v>172</v>
      </c>
      <c r="C47" s="14" t="e">
        <f>IF(#REF!&lt;&gt;0,(#REF!-#REF!-C48),0)</f>
        <v>#REF!</v>
      </c>
      <c r="D47" s="14" t="e">
        <f>IF(#REF!&lt;&gt;0,(#REF!-#REF!-D48),0)</f>
        <v>#REF!</v>
      </c>
      <c r="E47" s="14" t="e">
        <f>IF(#REF!&lt;&gt;0,(#REF!-#REF!-E48),0)</f>
        <v>#REF!</v>
      </c>
      <c r="F47" s="14" t="e">
        <f>IF(#REF!&lt;&gt;0,(#REF!-#REF!-F48),0)</f>
        <v>#REF!</v>
      </c>
      <c r="G47" s="14" t="e">
        <f>IF(#REF!&lt;&gt;0,(#REF!-#REF!-G48),0)</f>
        <v>#REF!</v>
      </c>
      <c r="H47" s="14" t="e">
        <f>IF(#REF!&lt;&gt;0,(#REF!-#REF!-H48),0)</f>
        <v>#REF!</v>
      </c>
      <c r="I47" s="14" t="e">
        <f>IF(#REF!&lt;&gt;0,(#REF!-#REF!-I48),0)</f>
        <v>#REF!</v>
      </c>
      <c r="J47" s="14" t="e">
        <f>IF(#REF!&lt;&gt;0,(#REF!-#REF!-J48),0)</f>
        <v>#REF!</v>
      </c>
      <c r="K47" s="14" t="e">
        <f>IF(#REF!&lt;&gt;0,(#REF!-#REF!-K48),0)</f>
        <v>#REF!</v>
      </c>
      <c r="L47" s="14" t="e">
        <f>IF(#REF!&lt;&gt;0,(#REF!-#REF!-L48),0)</f>
        <v>#REF!</v>
      </c>
      <c r="M47" s="14" t="e">
        <f>IF(#REF!&lt;&gt;0,(#REF!-#REF!-M48),0)</f>
        <v>#REF!</v>
      </c>
      <c r="N47" s="14" t="e">
        <f>IF(#REF!&lt;&gt;0,(#REF!-#REF!-N48),0)</f>
        <v>#REF!</v>
      </c>
      <c r="O47" s="14" t="e">
        <f>IF(#REF!&lt;&gt;0,(#REF!-#REF!-O48),0)</f>
        <v>#REF!</v>
      </c>
      <c r="P47" s="3"/>
    </row>
    <row r="48" spans="1:16" x14ac:dyDescent="0.2">
      <c r="A48" s="3">
        <v>7</v>
      </c>
      <c r="B48" s="15" t="s">
        <v>173</v>
      </c>
      <c r="C48" s="14" t="e">
        <f>IF(#REF!&lt;&gt;0,-C49,0)</f>
        <v>#REF!</v>
      </c>
      <c r="D48" s="14" t="e">
        <f>IF(#REF!&lt;&gt;0,-D49,0)</f>
        <v>#REF!</v>
      </c>
      <c r="E48" s="14" t="e">
        <f>IF(#REF!&lt;&gt;0,-E49,0)</f>
        <v>#REF!</v>
      </c>
      <c r="F48" s="14" t="e">
        <f>IF(#REF!&lt;&gt;0,-F49,0)</f>
        <v>#REF!</v>
      </c>
      <c r="G48" s="14" t="e">
        <f>IF(#REF!&lt;&gt;0,-G49,0)</f>
        <v>#REF!</v>
      </c>
      <c r="H48" s="14" t="e">
        <f>IF(#REF!&lt;&gt;0,-H49,0)</f>
        <v>#REF!</v>
      </c>
      <c r="I48" s="14" t="e">
        <f>IF(#REF!&lt;&gt;0,-I49,0)</f>
        <v>#REF!</v>
      </c>
      <c r="J48" s="14" t="e">
        <f>IF(#REF!&lt;&gt;0,-J49,0)</f>
        <v>#REF!</v>
      </c>
      <c r="K48" s="14" t="e">
        <f>IF(#REF!&lt;&gt;0,-K49,0)</f>
        <v>#REF!</v>
      </c>
      <c r="L48" s="14" t="e">
        <f>IF(#REF!&lt;&gt;0,-L49,0)</f>
        <v>#REF!</v>
      </c>
      <c r="M48" s="14" t="e">
        <f>IF(#REF!&lt;&gt;0,-M49,0)</f>
        <v>#REF!</v>
      </c>
      <c r="N48" s="14" t="e">
        <f>IF(#REF!&lt;&gt;0,-N49,0)</f>
        <v>#REF!</v>
      </c>
      <c r="O48" s="14" t="e">
        <f>IF(#REF!&lt;&gt;0,-O49,0)</f>
        <v>#REF!</v>
      </c>
      <c r="P48" s="3"/>
    </row>
    <row r="49" spans="1:16" x14ac:dyDescent="0.2">
      <c r="A49" s="3">
        <v>8</v>
      </c>
      <c r="B49" s="15" t="s">
        <v>174</v>
      </c>
      <c r="C49" s="14" t="e">
        <f>IF(#REF!&lt;&gt;0,#REF!-#REF!,0)</f>
        <v>#REF!</v>
      </c>
      <c r="D49" s="14" t="e">
        <f>IF(#REF!&lt;&gt;0,#REF!-#REF!,0)</f>
        <v>#REF!</v>
      </c>
      <c r="E49" s="14" t="e">
        <f>IF(#REF!&lt;&gt;0,#REF!-#REF!,0)</f>
        <v>#REF!</v>
      </c>
      <c r="F49" s="14" t="e">
        <f>IF(#REF!&lt;&gt;0,#REF!-#REF!,0)</f>
        <v>#REF!</v>
      </c>
      <c r="G49" s="14" t="e">
        <f>IF(#REF!&lt;&gt;0,#REF!-#REF!,0)</f>
        <v>#REF!</v>
      </c>
      <c r="H49" s="14" t="e">
        <f>IF(#REF!&lt;&gt;0,#REF!-#REF!,0)</f>
        <v>#REF!</v>
      </c>
      <c r="I49" s="14" t="e">
        <f>IF(#REF!&lt;&gt;0,#REF!-#REF!,0)</f>
        <v>#REF!</v>
      </c>
      <c r="J49" s="14" t="e">
        <f>IF(#REF!&lt;&gt;0,#REF!-#REF!,0)</f>
        <v>#REF!</v>
      </c>
      <c r="K49" s="14" t="e">
        <f>IF(#REF!&lt;&gt;0,#REF!-#REF!,0)</f>
        <v>#REF!</v>
      </c>
      <c r="L49" s="14" t="e">
        <f>IF(#REF!&lt;&gt;0,#REF!-#REF!,0)</f>
        <v>#REF!</v>
      </c>
      <c r="M49" s="14" t="e">
        <f>IF(#REF!&lt;&gt;0,#REF!-#REF!,0)</f>
        <v>#REF!</v>
      </c>
      <c r="N49" s="14" t="e">
        <f>IF(#REF!&lt;&gt;0,#REF!-#REF!,0)</f>
        <v>#REF!</v>
      </c>
      <c r="O49" s="14" t="e">
        <f>IF(#REF!&lt;&gt;0,#REF!-#REF!,0)</f>
        <v>#REF!</v>
      </c>
      <c r="P49" s="3"/>
    </row>
    <row r="50" spans="1:16" x14ac:dyDescent="0.2">
      <c r="A50" s="3">
        <v>9</v>
      </c>
      <c r="B50" s="3" t="s">
        <v>175</v>
      </c>
      <c r="C50" s="18" t="e">
        <f>IF(#REF!&lt;&gt;0,#REF!-#REF!,0)</f>
        <v>#REF!</v>
      </c>
      <c r="D50" s="18" t="e">
        <f>IF(#REF!&lt;&gt;0,#REF!-#REF!,0)</f>
        <v>#REF!</v>
      </c>
      <c r="E50" s="18" t="e">
        <f>IF(#REF!&lt;&gt;0,#REF!-#REF!,0)</f>
        <v>#REF!</v>
      </c>
      <c r="F50" s="18" t="e">
        <f>IF(#REF!&lt;&gt;0,#REF!-#REF!,0)</f>
        <v>#REF!</v>
      </c>
      <c r="G50" s="18" t="e">
        <f>IF(#REF!&lt;&gt;0,#REF!-#REF!,0)</f>
        <v>#REF!</v>
      </c>
      <c r="H50" s="18" t="e">
        <f>IF(#REF!&lt;&gt;0,#REF!-#REF!,0)</f>
        <v>#REF!</v>
      </c>
      <c r="I50" s="18" t="e">
        <f>IF(#REF!&lt;&gt;0,#REF!-#REF!,0)</f>
        <v>#REF!</v>
      </c>
      <c r="J50" s="18" t="e">
        <f>IF(#REF!&lt;&gt;0,#REF!-#REF!,0)</f>
        <v>#REF!</v>
      </c>
      <c r="K50" s="18" t="e">
        <f>IF(#REF!&lt;&gt;0,#REF!-#REF!,0)</f>
        <v>#REF!</v>
      </c>
      <c r="L50" s="18" t="e">
        <f>IF(#REF!&lt;&gt;0,#REF!-#REF!,0)</f>
        <v>#REF!</v>
      </c>
      <c r="M50" s="18" t="e">
        <f>IF(#REF!&lt;&gt;0,#REF!-#REF!,0)</f>
        <v>#REF!</v>
      </c>
      <c r="N50" s="18" t="e">
        <f>IF(#REF!&lt;&gt;0,#REF!-#REF!,0)</f>
        <v>#REF!</v>
      </c>
      <c r="O50" s="18" t="e">
        <f>IF(#REF!&lt;&gt;0,#REF!-#REF!,0)</f>
        <v>#REF!</v>
      </c>
      <c r="P50" s="3"/>
    </row>
    <row r="51" spans="1:16" x14ac:dyDescent="0.2">
      <c r="A51" s="3"/>
      <c r="B51" s="3"/>
      <c r="C51" s="3"/>
      <c r="D51" s="3"/>
      <c r="E51" s="3"/>
      <c r="F51" s="3"/>
      <c r="G51" s="3"/>
      <c r="H51" s="3"/>
      <c r="I51" s="3"/>
      <c r="J51" s="3"/>
      <c r="K51" s="3"/>
      <c r="L51" s="3"/>
      <c r="M51" s="3"/>
      <c r="N51" s="3"/>
      <c r="O51" s="3"/>
      <c r="P51" s="3"/>
    </row>
    <row r="52" spans="1:16" x14ac:dyDescent="0.2">
      <c r="A52" s="3"/>
      <c r="B52" s="3"/>
      <c r="C52" s="3"/>
      <c r="D52" s="3"/>
      <c r="E52" s="3"/>
      <c r="F52" s="3"/>
      <c r="G52" s="3"/>
      <c r="H52" s="3"/>
      <c r="I52" s="3"/>
      <c r="J52" s="3"/>
      <c r="K52" s="3"/>
      <c r="L52" s="3"/>
      <c r="M52" s="3"/>
      <c r="N52" s="3"/>
      <c r="O52" s="3"/>
      <c r="P52" s="3"/>
    </row>
    <row r="53" spans="1:16" x14ac:dyDescent="0.2">
      <c r="A53" s="3"/>
      <c r="B53" s="3" t="e">
        <f>'Fund Flow'!B1</f>
        <v>#REF!</v>
      </c>
      <c r="C53" s="3"/>
      <c r="D53" s="3"/>
      <c r="E53" s="3"/>
      <c r="F53" s="3"/>
      <c r="G53" s="3"/>
      <c r="H53" s="25" t="s">
        <v>176</v>
      </c>
      <c r="I53" s="3"/>
      <c r="J53" s="3"/>
      <c r="K53" s="3"/>
      <c r="L53" s="3"/>
      <c r="M53" s="3"/>
      <c r="N53" s="3"/>
      <c r="O53" s="3"/>
      <c r="P53" s="3"/>
    </row>
    <row r="54" spans="1:16" x14ac:dyDescent="0.2">
      <c r="A54" s="3"/>
      <c r="B54" s="3"/>
      <c r="C54" s="10" t="s">
        <v>177</v>
      </c>
      <c r="D54" s="3"/>
      <c r="E54" s="3"/>
      <c r="F54" s="3"/>
      <c r="G54" s="3"/>
      <c r="H54" s="3"/>
      <c r="I54" s="3"/>
      <c r="J54" s="3"/>
      <c r="K54" s="3"/>
      <c r="L54" s="3"/>
      <c r="M54" s="3"/>
      <c r="N54" s="3"/>
      <c r="O54" s="3"/>
      <c r="P54" s="3"/>
    </row>
    <row r="55" spans="1:16" x14ac:dyDescent="0.2">
      <c r="A55" s="3"/>
      <c r="B55" s="3"/>
      <c r="C55" s="3"/>
      <c r="D55" s="3"/>
      <c r="E55" s="3"/>
      <c r="F55" s="3"/>
      <c r="G55" s="3"/>
      <c r="H55" s="3"/>
      <c r="I55" s="3"/>
      <c r="J55" s="3"/>
      <c r="K55" s="3"/>
      <c r="L55" s="3"/>
      <c r="M55" s="3"/>
      <c r="N55" s="3"/>
      <c r="O55" s="3"/>
      <c r="P55" s="3"/>
    </row>
    <row r="56" spans="1:16" x14ac:dyDescent="0.2">
      <c r="A56" s="3"/>
      <c r="B56" s="26" t="e">
        <f>#REF!</f>
        <v>#REF!</v>
      </c>
      <c r="C56" s="3"/>
      <c r="D56" s="3"/>
      <c r="E56" s="3"/>
      <c r="F56" s="25" t="e">
        <f>#REF!</f>
        <v>#REF!</v>
      </c>
      <c r="G56" s="25" t="e">
        <f>#REF!</f>
        <v>#REF!</v>
      </c>
      <c r="H56" s="3"/>
      <c r="I56" s="3"/>
      <c r="J56" s="3"/>
      <c r="K56" s="3"/>
      <c r="L56" s="3"/>
      <c r="M56" s="3"/>
      <c r="N56" s="3"/>
      <c r="O56" s="3"/>
      <c r="P56" s="3"/>
    </row>
    <row r="57" spans="1:16" x14ac:dyDescent="0.2">
      <c r="A57" s="3"/>
      <c r="B57" s="3"/>
      <c r="C57" s="3"/>
      <c r="D57" s="3"/>
      <c r="E57" s="3"/>
      <c r="F57" s="3"/>
      <c r="G57" s="3"/>
      <c r="H57" s="3"/>
      <c r="I57" s="3"/>
      <c r="J57" s="3"/>
      <c r="K57" s="3"/>
      <c r="L57" s="3"/>
      <c r="M57" s="3"/>
      <c r="N57" s="3"/>
      <c r="O57" s="3"/>
      <c r="P57" s="3"/>
    </row>
    <row r="58" spans="1:16" x14ac:dyDescent="0.2">
      <c r="A58" s="27"/>
      <c r="B58" s="13"/>
      <c r="C58" s="28" t="e">
        <f>#REF!</f>
        <v>#REF!</v>
      </c>
      <c r="D58" s="29" t="e">
        <f>#REF!</f>
        <v>#REF!</v>
      </c>
      <c r="E58" s="29" t="e">
        <f>#REF!</f>
        <v>#REF!</v>
      </c>
      <c r="F58" s="29" t="e">
        <f>#REF!</f>
        <v>#REF!</v>
      </c>
      <c r="G58" s="29" t="e">
        <f>#REF!</f>
        <v>#REF!</v>
      </c>
      <c r="H58" s="29" t="e">
        <f>#REF!</f>
        <v>#REF!</v>
      </c>
      <c r="I58" s="29" t="e">
        <f>#REF!</f>
        <v>#REF!</v>
      </c>
      <c r="J58" s="29" t="e">
        <f>#REF!</f>
        <v>#REF!</v>
      </c>
      <c r="K58" s="29" t="e">
        <f>#REF!</f>
        <v>#REF!</v>
      </c>
      <c r="L58" s="29" t="e">
        <f>#REF!</f>
        <v>#REF!</v>
      </c>
      <c r="M58" s="29" t="e">
        <f>#REF!</f>
        <v>#REF!</v>
      </c>
      <c r="N58" s="29" t="e">
        <f>#REF!</f>
        <v>#REF!</v>
      </c>
      <c r="O58" s="29" t="e">
        <f>#REF!</f>
        <v>#REF!</v>
      </c>
      <c r="P58" s="29" t="e">
        <f>#REF!</f>
        <v>#REF!</v>
      </c>
    </row>
    <row r="59" spans="1:16" x14ac:dyDescent="0.2">
      <c r="A59" s="30"/>
      <c r="B59" s="21"/>
      <c r="C59" s="20"/>
      <c r="D59" s="31" t="e">
        <f>#REF!</f>
        <v>#REF!</v>
      </c>
      <c r="E59" s="31" t="e">
        <f>#REF!</f>
        <v>#REF!</v>
      </c>
      <c r="F59" s="31" t="e">
        <f>#REF!</f>
        <v>#REF!</v>
      </c>
      <c r="G59" s="31" t="e">
        <f>#REF!</f>
        <v>#REF!</v>
      </c>
      <c r="H59" s="31" t="e">
        <f>#REF!</f>
        <v>#REF!</v>
      </c>
      <c r="I59" s="31" t="e">
        <f>#REF!</f>
        <v>#REF!</v>
      </c>
      <c r="J59" s="31" t="e">
        <f>#REF!</f>
        <v>#REF!</v>
      </c>
      <c r="K59" s="31" t="e">
        <f>#REF!</f>
        <v>#REF!</v>
      </c>
      <c r="L59" s="31" t="e">
        <f>#REF!</f>
        <v>#REF!</v>
      </c>
      <c r="M59" s="31" t="e">
        <f>#REF!</f>
        <v>#REF!</v>
      </c>
      <c r="N59" s="31" t="e">
        <f>#REF!</f>
        <v>#REF!</v>
      </c>
      <c r="O59" s="31" t="e">
        <f>#REF!</f>
        <v>#REF!</v>
      </c>
      <c r="P59" s="31" t="e">
        <f>#REF!</f>
        <v>#REF!</v>
      </c>
    </row>
    <row r="60" spans="1:16" x14ac:dyDescent="0.2">
      <c r="A60" s="32"/>
      <c r="B60" s="33"/>
      <c r="C60" s="34"/>
      <c r="D60" s="35" t="e">
        <f>#REF!</f>
        <v>#REF!</v>
      </c>
      <c r="E60" s="35" t="e">
        <f>#REF!</f>
        <v>#REF!</v>
      </c>
      <c r="F60" s="35" t="e">
        <f>#REF!</f>
        <v>#REF!</v>
      </c>
      <c r="G60" s="35" t="e">
        <f>#REF!</f>
        <v>#REF!</v>
      </c>
      <c r="H60" s="35" t="e">
        <f>#REF!</f>
        <v>#REF!</v>
      </c>
      <c r="I60" s="35" t="e">
        <f>#REF!</f>
        <v>#REF!</v>
      </c>
      <c r="J60" s="35" t="e">
        <f>#REF!</f>
        <v>#REF!</v>
      </c>
      <c r="K60" s="35" t="e">
        <f>#REF!</f>
        <v>#REF!</v>
      </c>
      <c r="L60" s="35" t="e">
        <f>#REF!</f>
        <v>#REF!</v>
      </c>
      <c r="M60" s="35" t="e">
        <f>#REF!</f>
        <v>#REF!</v>
      </c>
      <c r="N60" s="35" t="e">
        <f>#REF!</f>
        <v>#REF!</v>
      </c>
      <c r="O60" s="35" t="e">
        <f>#REF!</f>
        <v>#REF!</v>
      </c>
      <c r="P60" s="35" t="e">
        <f>#REF!</f>
        <v>#REF!</v>
      </c>
    </row>
    <row r="61" spans="1:16" x14ac:dyDescent="0.2">
      <c r="A61" s="27"/>
      <c r="B61" s="13"/>
      <c r="C61" s="12"/>
      <c r="D61" s="12"/>
      <c r="E61" s="12"/>
      <c r="F61" s="12"/>
      <c r="G61" s="12"/>
      <c r="H61" s="12"/>
      <c r="I61" s="12"/>
      <c r="J61" s="12"/>
      <c r="K61" s="12"/>
      <c r="L61" s="12"/>
      <c r="M61" s="12"/>
      <c r="N61" s="12"/>
      <c r="O61" s="12"/>
      <c r="P61" s="12"/>
    </row>
    <row r="62" spans="1:16" x14ac:dyDescent="0.2">
      <c r="A62" s="30"/>
      <c r="B62" s="36" t="s">
        <v>97</v>
      </c>
      <c r="C62" s="30"/>
      <c r="D62" s="37" t="e">
        <f>#REF!</f>
        <v>#REF!</v>
      </c>
      <c r="E62" s="37" t="e">
        <f>#REF!</f>
        <v>#REF!</v>
      </c>
      <c r="F62" s="37" t="e">
        <f>#REF!</f>
        <v>#REF!</v>
      </c>
      <c r="G62" s="37" t="e">
        <f>#REF!</f>
        <v>#REF!</v>
      </c>
      <c r="H62" s="37" t="e">
        <f>#REF!</f>
        <v>#REF!</v>
      </c>
      <c r="I62" s="37" t="e">
        <f>#REF!</f>
        <v>#REF!</v>
      </c>
      <c r="J62" s="37" t="e">
        <f>#REF!</f>
        <v>#REF!</v>
      </c>
      <c r="K62" s="37" t="e">
        <f>#REF!</f>
        <v>#REF!</v>
      </c>
      <c r="L62" s="37" t="e">
        <f>#REF!</f>
        <v>#REF!</v>
      </c>
      <c r="M62" s="37" t="e">
        <f>#REF!</f>
        <v>#REF!</v>
      </c>
      <c r="N62" s="37" t="e">
        <f>#REF!</f>
        <v>#REF!</v>
      </c>
      <c r="O62" s="37" t="e">
        <f>#REF!</f>
        <v>#REF!</v>
      </c>
      <c r="P62" s="37" t="e">
        <f>#REF!</f>
        <v>#REF!</v>
      </c>
    </row>
    <row r="63" spans="1:16" x14ac:dyDescent="0.2">
      <c r="A63" s="30"/>
      <c r="B63" s="21"/>
      <c r="C63" s="20"/>
      <c r="D63" s="34"/>
      <c r="E63" s="34"/>
      <c r="F63" s="34"/>
      <c r="G63" s="34"/>
      <c r="H63" s="34"/>
      <c r="I63" s="34"/>
      <c r="J63" s="34"/>
      <c r="K63" s="34"/>
      <c r="L63" s="34"/>
      <c r="M63" s="34"/>
      <c r="N63" s="34"/>
      <c r="O63" s="34"/>
      <c r="P63" s="34"/>
    </row>
    <row r="64" spans="1:16" x14ac:dyDescent="0.2">
      <c r="A64" s="38" t="s">
        <v>178</v>
      </c>
      <c r="B64" s="36" t="s">
        <v>311</v>
      </c>
      <c r="C64" s="20"/>
      <c r="D64" s="39" t="e">
        <f>#REF!</f>
        <v>#REF!</v>
      </c>
      <c r="E64" s="39" t="e">
        <f>#REF!</f>
        <v>#REF!</v>
      </c>
      <c r="F64" s="39" t="e">
        <f>#REF!</f>
        <v>#REF!</v>
      </c>
      <c r="G64" s="39" t="e">
        <f>#REF!</f>
        <v>#REF!</v>
      </c>
      <c r="H64" s="39" t="e">
        <f>#REF!</f>
        <v>#REF!</v>
      </c>
      <c r="I64" s="39" t="e">
        <f>#REF!</f>
        <v>#REF!</v>
      </c>
      <c r="J64" s="39" t="e">
        <f>#REF!</f>
        <v>#REF!</v>
      </c>
      <c r="K64" s="39" t="e">
        <f>#REF!</f>
        <v>#REF!</v>
      </c>
      <c r="L64" s="39" t="e">
        <f>#REF!</f>
        <v>#REF!</v>
      </c>
      <c r="M64" s="39" t="e">
        <f>#REF!</f>
        <v>#REF!</v>
      </c>
      <c r="N64" s="39" t="e">
        <f>#REF!</f>
        <v>#REF!</v>
      </c>
      <c r="O64" s="39" t="e">
        <f>#REF!</f>
        <v>#REF!</v>
      </c>
      <c r="P64" s="39" t="e">
        <f>#REF!</f>
        <v>#REF!</v>
      </c>
    </row>
    <row r="65" spans="1:17" x14ac:dyDescent="0.2">
      <c r="A65" s="30"/>
      <c r="B65" s="21"/>
      <c r="C65" s="20"/>
      <c r="D65" s="14"/>
      <c r="E65" s="14"/>
      <c r="F65" s="14"/>
      <c r="G65" s="14"/>
      <c r="H65" s="14"/>
      <c r="I65" s="14"/>
      <c r="J65" s="14"/>
      <c r="K65" s="14"/>
      <c r="L65" s="14"/>
      <c r="M65" s="14"/>
      <c r="N65" s="14"/>
      <c r="O65" s="14"/>
      <c r="P65" s="14"/>
    </row>
    <row r="66" spans="1:17" x14ac:dyDescent="0.2">
      <c r="A66" s="38" t="s">
        <v>312</v>
      </c>
      <c r="B66" s="36" t="s">
        <v>313</v>
      </c>
      <c r="C66" s="40" t="s">
        <v>314</v>
      </c>
      <c r="D66" s="14"/>
      <c r="E66" s="14"/>
      <c r="F66" s="14"/>
      <c r="G66" s="14"/>
      <c r="H66" s="14"/>
      <c r="I66" s="14"/>
      <c r="J66" s="14"/>
      <c r="K66" s="14"/>
      <c r="L66" s="14"/>
      <c r="M66" s="14"/>
      <c r="N66" s="14"/>
      <c r="O66" s="14"/>
      <c r="P66" s="14"/>
    </row>
    <row r="67" spans="1:17" x14ac:dyDescent="0.2">
      <c r="A67" s="30"/>
      <c r="B67" s="21" t="s">
        <v>315</v>
      </c>
      <c r="C67" s="20"/>
      <c r="D67" s="14" t="e">
        <f>#REF!</f>
        <v>#REF!</v>
      </c>
      <c r="E67" s="14" t="e">
        <f>#REF!</f>
        <v>#REF!</v>
      </c>
      <c r="F67" s="14" t="e">
        <f>#REF!</f>
        <v>#REF!</v>
      </c>
      <c r="G67" s="14" t="e">
        <f>#REF!</f>
        <v>#REF!</v>
      </c>
      <c r="H67" s="14" t="e">
        <f>#REF!</f>
        <v>#REF!</v>
      </c>
      <c r="I67" s="14" t="e">
        <f>#REF!</f>
        <v>#REF!</v>
      </c>
      <c r="J67" s="14" t="e">
        <f>#REF!</f>
        <v>#REF!</v>
      </c>
      <c r="K67" s="14" t="e">
        <f>#REF!</f>
        <v>#REF!</v>
      </c>
      <c r="L67" s="14" t="e">
        <f>#REF!</f>
        <v>#REF!</v>
      </c>
      <c r="M67" s="14" t="e">
        <f>#REF!</f>
        <v>#REF!</v>
      </c>
      <c r="N67" s="14" t="e">
        <f>#REF!</f>
        <v>#REF!</v>
      </c>
      <c r="O67" s="14" t="e">
        <f>#REF!</f>
        <v>#REF!</v>
      </c>
      <c r="P67" s="14" t="e">
        <f>#REF!</f>
        <v>#REF!</v>
      </c>
    </row>
    <row r="68" spans="1:17" x14ac:dyDescent="0.2">
      <c r="A68" s="30"/>
      <c r="B68" s="21" t="s">
        <v>316</v>
      </c>
      <c r="C68" s="20"/>
      <c r="D68" s="14" t="e">
        <f>#REF!</f>
        <v>#REF!</v>
      </c>
      <c r="E68" s="14" t="e">
        <f>#REF!</f>
        <v>#REF!</v>
      </c>
      <c r="F68" s="14" t="e">
        <f>#REF!</f>
        <v>#REF!</v>
      </c>
      <c r="G68" s="14" t="e">
        <f>#REF!</f>
        <v>#REF!</v>
      </c>
      <c r="H68" s="14" t="e">
        <f>#REF!</f>
        <v>#REF!</v>
      </c>
      <c r="I68" s="14" t="e">
        <f>#REF!</f>
        <v>#REF!</v>
      </c>
      <c r="J68" s="14" t="e">
        <f>#REF!</f>
        <v>#REF!</v>
      </c>
      <c r="K68" s="14" t="e">
        <f>#REF!</f>
        <v>#REF!</v>
      </c>
      <c r="L68" s="14" t="e">
        <f>#REF!</f>
        <v>#REF!</v>
      </c>
      <c r="M68" s="14" t="e">
        <f>#REF!</f>
        <v>#REF!</v>
      </c>
      <c r="N68" s="14" t="e">
        <f>#REF!</f>
        <v>#REF!</v>
      </c>
      <c r="O68" s="14" t="e">
        <f>#REF!</f>
        <v>#REF!</v>
      </c>
      <c r="P68" s="14" t="e">
        <f>#REF!</f>
        <v>#REF!</v>
      </c>
    </row>
    <row r="69" spans="1:17" x14ac:dyDescent="0.2">
      <c r="A69" s="30"/>
      <c r="B69" s="21" t="s">
        <v>317</v>
      </c>
      <c r="C69" s="37" t="e">
        <f>100%-C80</f>
        <v>#REF!</v>
      </c>
      <c r="D69" s="14" t="e">
        <f>#REF!*'Fund Flow'!$C69</f>
        <v>#REF!</v>
      </c>
      <c r="E69" s="14" t="e">
        <f>#REF!*'Fund Flow'!$C69</f>
        <v>#REF!</v>
      </c>
      <c r="F69" s="14" t="e">
        <f>#REF!*'Fund Flow'!$C69</f>
        <v>#REF!</v>
      </c>
      <c r="G69" s="14" t="e">
        <f>#REF!*'Fund Flow'!$C69</f>
        <v>#REF!</v>
      </c>
      <c r="H69" s="14" t="e">
        <f>#REF!*'Fund Flow'!$C69</f>
        <v>#REF!</v>
      </c>
      <c r="I69" s="14" t="e">
        <f>#REF!*'Fund Flow'!$C69</f>
        <v>#REF!</v>
      </c>
      <c r="J69" s="14" t="e">
        <f>#REF!*'Fund Flow'!$C69</f>
        <v>#REF!</v>
      </c>
      <c r="K69" s="14" t="e">
        <f>#REF!*'Fund Flow'!$C69</f>
        <v>#REF!</v>
      </c>
      <c r="L69" s="14" t="e">
        <f>#REF!*'Fund Flow'!$C69</f>
        <v>#REF!</v>
      </c>
      <c r="M69" s="14" t="e">
        <f>#REF!*'Fund Flow'!$C69</f>
        <v>#REF!</v>
      </c>
      <c r="N69" s="14" t="e">
        <f>#REF!*'Fund Flow'!$C69</f>
        <v>#REF!</v>
      </c>
      <c r="O69" s="14" t="e">
        <f>#REF!*'Fund Flow'!$C69</f>
        <v>#REF!</v>
      </c>
      <c r="P69" s="14" t="e">
        <f>#REF!*'Fund Flow'!$C69</f>
        <v>#REF!</v>
      </c>
    </row>
    <row r="70" spans="1:17" x14ac:dyDescent="0.2">
      <c r="A70" s="30"/>
      <c r="B70" s="21" t="s">
        <v>318</v>
      </c>
      <c r="C70" s="37" t="e">
        <f>100%-C81</f>
        <v>#REF!</v>
      </c>
      <c r="D70" s="14" t="e">
        <f>#REF!*'Fund Flow'!$C70</f>
        <v>#REF!</v>
      </c>
      <c r="E70" s="14" t="e">
        <f>#REF!*'Fund Flow'!$C70</f>
        <v>#REF!</v>
      </c>
      <c r="F70" s="14" t="e">
        <f>#REF!*'Fund Flow'!$C70</f>
        <v>#REF!</v>
      </c>
      <c r="G70" s="14" t="e">
        <f>#REF!*'Fund Flow'!$C70</f>
        <v>#REF!</v>
      </c>
      <c r="H70" s="14" t="e">
        <f>#REF!*'Fund Flow'!$C70</f>
        <v>#REF!</v>
      </c>
      <c r="I70" s="14" t="e">
        <f>#REF!*'Fund Flow'!$C70</f>
        <v>#REF!</v>
      </c>
      <c r="J70" s="14" t="e">
        <f>#REF!*'Fund Flow'!$C70</f>
        <v>#REF!</v>
      </c>
      <c r="K70" s="14" t="e">
        <f>#REF!*'Fund Flow'!$C70</f>
        <v>#REF!</v>
      </c>
      <c r="L70" s="14" t="e">
        <f>#REF!*'Fund Flow'!$C70</f>
        <v>#REF!</v>
      </c>
      <c r="M70" s="14" t="e">
        <f>#REF!*'Fund Flow'!$C70</f>
        <v>#REF!</v>
      </c>
      <c r="N70" s="14" t="e">
        <f>#REF!*'Fund Flow'!$C70</f>
        <v>#REF!</v>
      </c>
      <c r="O70" s="14" t="e">
        <f>#REF!*'Fund Flow'!$C70</f>
        <v>#REF!</v>
      </c>
      <c r="P70" s="14" t="e">
        <f>#REF!*'Fund Flow'!$C70</f>
        <v>#REF!</v>
      </c>
    </row>
    <row r="71" spans="1:17" x14ac:dyDescent="0.2">
      <c r="A71" s="30"/>
      <c r="B71" s="21" t="s">
        <v>319</v>
      </c>
      <c r="C71" s="20"/>
      <c r="D71" s="14" t="e">
        <f>#REF!+#REF!</f>
        <v>#REF!</v>
      </c>
      <c r="E71" s="14" t="e">
        <f>#REF!+#REF!</f>
        <v>#REF!</v>
      </c>
      <c r="F71" s="14" t="e">
        <f>#REF!+#REF!</f>
        <v>#REF!</v>
      </c>
      <c r="G71" s="14" t="e">
        <f>#REF!+#REF!</f>
        <v>#REF!</v>
      </c>
      <c r="H71" s="14" t="e">
        <f>#REF!+#REF!</f>
        <v>#REF!</v>
      </c>
      <c r="I71" s="14" t="e">
        <f>#REF!+#REF!</f>
        <v>#REF!</v>
      </c>
      <c r="J71" s="14" t="e">
        <f>#REF!+#REF!</f>
        <v>#REF!</v>
      </c>
      <c r="K71" s="14" t="e">
        <f>#REF!+#REF!</f>
        <v>#REF!</v>
      </c>
      <c r="L71" s="14" t="e">
        <f>#REF!+#REF!</f>
        <v>#REF!</v>
      </c>
      <c r="M71" s="14" t="e">
        <f>#REF!+#REF!</f>
        <v>#REF!</v>
      </c>
      <c r="N71" s="14" t="e">
        <f>#REF!+#REF!</f>
        <v>#REF!</v>
      </c>
      <c r="O71" s="14" t="e">
        <f>#REF!+#REF!</f>
        <v>#REF!</v>
      </c>
      <c r="P71" s="14" t="e">
        <f>#REF!+#REF!</f>
        <v>#REF!</v>
      </c>
    </row>
    <row r="72" spans="1:17" x14ac:dyDescent="0.2">
      <c r="A72" s="30"/>
      <c r="B72" s="3" t="s">
        <v>320</v>
      </c>
      <c r="C72" s="37" t="e">
        <f>100%-C82</f>
        <v>#REF!</v>
      </c>
      <c r="D72" s="14" t="e">
        <f>#REF!*'Fund Flow'!$C72</f>
        <v>#REF!</v>
      </c>
      <c r="E72" s="14" t="e">
        <f>#REF!*'Fund Flow'!$C72</f>
        <v>#REF!</v>
      </c>
      <c r="F72" s="14" t="e">
        <f>#REF!*'Fund Flow'!$C72</f>
        <v>#REF!</v>
      </c>
      <c r="G72" s="14" t="e">
        <f>#REF!*'Fund Flow'!$C72</f>
        <v>#REF!</v>
      </c>
      <c r="H72" s="14" t="e">
        <f>#REF!*'Fund Flow'!$C72</f>
        <v>#REF!</v>
      </c>
      <c r="I72" s="14" t="e">
        <f>#REF!*'Fund Flow'!$C72</f>
        <v>#REF!</v>
      </c>
      <c r="J72" s="14" t="e">
        <f>#REF!*'Fund Flow'!$C72</f>
        <v>#REF!</v>
      </c>
      <c r="K72" s="14" t="e">
        <f>#REF!*'Fund Flow'!$C72</f>
        <v>#REF!</v>
      </c>
      <c r="L72" s="14" t="e">
        <f>#REF!*'Fund Flow'!$C72</f>
        <v>#REF!</v>
      </c>
      <c r="M72" s="14" t="e">
        <f>#REF!*'Fund Flow'!$C72</f>
        <v>#REF!</v>
      </c>
      <c r="N72" s="14" t="e">
        <f>#REF!*'Fund Flow'!$C72</f>
        <v>#REF!</v>
      </c>
      <c r="O72" s="14" t="e">
        <f>#REF!*'Fund Flow'!$C72</f>
        <v>#REF!</v>
      </c>
      <c r="P72" s="14" t="e">
        <f>#REF!*'Fund Flow'!$C72</f>
        <v>#REF!</v>
      </c>
    </row>
    <row r="73" spans="1:17" x14ac:dyDescent="0.2">
      <c r="A73" s="30"/>
      <c r="B73" s="21" t="s">
        <v>321</v>
      </c>
      <c r="C73" s="37" t="e">
        <f>100%-C84</f>
        <v>#REF!</v>
      </c>
      <c r="D73" s="14" t="e">
        <f>#REF!*'Fund Flow'!$C73</f>
        <v>#REF!</v>
      </c>
      <c r="E73" s="14" t="e">
        <f>#REF!*'Fund Flow'!$C73</f>
        <v>#REF!</v>
      </c>
      <c r="F73" s="14" t="e">
        <f>#REF!*'Fund Flow'!$C73</f>
        <v>#REF!</v>
      </c>
      <c r="G73" s="14" t="e">
        <f>#REF!*'Fund Flow'!$C73</f>
        <v>#REF!</v>
      </c>
      <c r="H73" s="14" t="e">
        <f>#REF!*'Fund Flow'!$C73</f>
        <v>#REF!</v>
      </c>
      <c r="I73" s="14" t="e">
        <f>#REF!*'Fund Flow'!$C73</f>
        <v>#REF!</v>
      </c>
      <c r="J73" s="14" t="e">
        <f>#REF!*'Fund Flow'!$C73</f>
        <v>#REF!</v>
      </c>
      <c r="K73" s="14" t="e">
        <f>#REF!*'Fund Flow'!$C73</f>
        <v>#REF!</v>
      </c>
      <c r="L73" s="14" t="e">
        <f>#REF!*'Fund Flow'!$C73</f>
        <v>#REF!</v>
      </c>
      <c r="M73" s="14" t="e">
        <f>#REF!*'Fund Flow'!$C73</f>
        <v>#REF!</v>
      </c>
      <c r="N73" s="14" t="e">
        <f>#REF!*'Fund Flow'!$C73</f>
        <v>#REF!</v>
      </c>
      <c r="O73" s="14" t="e">
        <f>#REF!*'Fund Flow'!$C73</f>
        <v>#REF!</v>
      </c>
      <c r="P73" s="14" t="e">
        <f>#REF!*'Fund Flow'!$C73</f>
        <v>#REF!</v>
      </c>
    </row>
    <row r="74" spans="1:17" x14ac:dyDescent="0.2">
      <c r="A74" s="30"/>
      <c r="B74" s="21" t="s">
        <v>322</v>
      </c>
      <c r="C74" s="41"/>
      <c r="D74" s="42" t="e">
        <f>#REF!-'Fund Flow'!D85</f>
        <v>#REF!</v>
      </c>
      <c r="E74" s="42" t="e">
        <f>#REF!-'Fund Flow'!E85</f>
        <v>#REF!</v>
      </c>
      <c r="F74" s="42" t="e">
        <f>#REF!-'Fund Flow'!F85</f>
        <v>#REF!</v>
      </c>
      <c r="G74" s="42" t="e">
        <f>#REF!-'Fund Flow'!G85</f>
        <v>#REF!</v>
      </c>
      <c r="H74" s="42" t="e">
        <f>#REF!-'Fund Flow'!H85</f>
        <v>#REF!</v>
      </c>
      <c r="I74" s="42" t="e">
        <f>#REF!-'Fund Flow'!I85</f>
        <v>#REF!</v>
      </c>
      <c r="J74" s="42" t="e">
        <f>#REF!-'Fund Flow'!J85</f>
        <v>#REF!</v>
      </c>
      <c r="K74" s="42" t="e">
        <f>#REF!-'Fund Flow'!K85</f>
        <v>#REF!</v>
      </c>
      <c r="L74" s="42" t="e">
        <f>#REF!-'Fund Flow'!L85</f>
        <v>#REF!</v>
      </c>
      <c r="M74" s="42" t="e">
        <f>#REF!-'Fund Flow'!M85</f>
        <v>#REF!</v>
      </c>
      <c r="N74" s="42" t="e">
        <f>#REF!-'Fund Flow'!N85</f>
        <v>#REF!</v>
      </c>
      <c r="O74" s="42" t="e">
        <f>#REF!-'Fund Flow'!O85</f>
        <v>#REF!</v>
      </c>
      <c r="P74" s="42" t="e">
        <f>#REF!-'Fund Flow'!P85</f>
        <v>#REF!</v>
      </c>
      <c r="Q74" s="43" t="e">
        <f>MIN(D74:I74)</f>
        <v>#REF!</v>
      </c>
    </row>
    <row r="75" spans="1:17" x14ac:dyDescent="0.2">
      <c r="A75" s="30"/>
      <c r="B75" s="36" t="s">
        <v>179</v>
      </c>
      <c r="C75" s="20"/>
      <c r="D75" s="44" t="e">
        <f t="shared" ref="D75:I75" si="5">SUM(D67:D74)</f>
        <v>#REF!</v>
      </c>
      <c r="E75" s="44" t="e">
        <f t="shared" si="5"/>
        <v>#REF!</v>
      </c>
      <c r="F75" s="44" t="e">
        <f t="shared" si="5"/>
        <v>#REF!</v>
      </c>
      <c r="G75" s="44" t="e">
        <f t="shared" si="5"/>
        <v>#REF!</v>
      </c>
      <c r="H75" s="44" t="e">
        <f t="shared" si="5"/>
        <v>#REF!</v>
      </c>
      <c r="I75" s="44" t="e">
        <f t="shared" si="5"/>
        <v>#REF!</v>
      </c>
      <c r="J75" s="44" t="e">
        <f t="shared" ref="J75:P75" si="6">SUM(J67:J74)</f>
        <v>#REF!</v>
      </c>
      <c r="K75" s="44" t="e">
        <f t="shared" si="6"/>
        <v>#REF!</v>
      </c>
      <c r="L75" s="44" t="e">
        <f t="shared" si="6"/>
        <v>#REF!</v>
      </c>
      <c r="M75" s="44" t="e">
        <f t="shared" si="6"/>
        <v>#REF!</v>
      </c>
      <c r="N75" s="44" t="e">
        <f t="shared" si="6"/>
        <v>#REF!</v>
      </c>
      <c r="O75" s="44" t="e">
        <f t="shared" si="6"/>
        <v>#REF!</v>
      </c>
      <c r="P75" s="44" t="e">
        <f t="shared" si="6"/>
        <v>#REF!</v>
      </c>
    </row>
    <row r="76" spans="1:17" x14ac:dyDescent="0.2">
      <c r="A76" s="30"/>
      <c r="B76" s="21"/>
      <c r="C76" s="20"/>
      <c r="D76" s="14"/>
      <c r="E76" s="14"/>
      <c r="F76" s="14"/>
      <c r="G76" s="14"/>
      <c r="H76" s="14"/>
      <c r="I76" s="14"/>
      <c r="J76" s="14"/>
      <c r="K76" s="14"/>
      <c r="L76" s="14"/>
      <c r="M76" s="14"/>
      <c r="N76" s="14"/>
      <c r="O76" s="14"/>
      <c r="P76" s="14"/>
    </row>
    <row r="77" spans="1:17" x14ac:dyDescent="0.2">
      <c r="A77" s="38" t="s">
        <v>180</v>
      </c>
      <c r="B77" s="36" t="s">
        <v>181</v>
      </c>
      <c r="C77" s="20"/>
      <c r="D77" s="44" t="e">
        <f t="shared" ref="D77:I77" si="7">D64-D75</f>
        <v>#REF!</v>
      </c>
      <c r="E77" s="44" t="e">
        <f t="shared" si="7"/>
        <v>#REF!</v>
      </c>
      <c r="F77" s="44" t="e">
        <f t="shared" si="7"/>
        <v>#REF!</v>
      </c>
      <c r="G77" s="44" t="e">
        <f t="shared" si="7"/>
        <v>#REF!</v>
      </c>
      <c r="H77" s="44" t="e">
        <f t="shared" si="7"/>
        <v>#REF!</v>
      </c>
      <c r="I77" s="44" t="e">
        <f t="shared" si="7"/>
        <v>#REF!</v>
      </c>
      <c r="J77" s="44" t="e">
        <f t="shared" ref="J77:P77" si="8">J64-J75</f>
        <v>#REF!</v>
      </c>
      <c r="K77" s="44" t="e">
        <f t="shared" si="8"/>
        <v>#REF!</v>
      </c>
      <c r="L77" s="44" t="e">
        <f t="shared" si="8"/>
        <v>#REF!</v>
      </c>
      <c r="M77" s="44" t="e">
        <f t="shared" si="8"/>
        <v>#REF!</v>
      </c>
      <c r="N77" s="44" t="e">
        <f t="shared" si="8"/>
        <v>#REF!</v>
      </c>
      <c r="O77" s="44" t="e">
        <f t="shared" si="8"/>
        <v>#REF!</v>
      </c>
      <c r="P77" s="44" t="e">
        <f t="shared" si="8"/>
        <v>#REF!</v>
      </c>
    </row>
    <row r="78" spans="1:17" x14ac:dyDescent="0.2">
      <c r="A78" s="30"/>
      <c r="B78" s="21"/>
      <c r="C78" s="20"/>
      <c r="D78" s="14"/>
      <c r="E78" s="14"/>
      <c r="F78" s="14"/>
      <c r="G78" s="14"/>
      <c r="H78" s="14"/>
      <c r="I78" s="14"/>
      <c r="J78" s="14"/>
      <c r="K78" s="14"/>
      <c r="L78" s="14"/>
      <c r="M78" s="14"/>
      <c r="N78" s="14"/>
      <c r="O78" s="14"/>
      <c r="P78" s="14"/>
    </row>
    <row r="79" spans="1:17" x14ac:dyDescent="0.2">
      <c r="A79" s="38" t="s">
        <v>182</v>
      </c>
      <c r="B79" s="36" t="s">
        <v>183</v>
      </c>
      <c r="C79" s="20"/>
      <c r="D79" s="14"/>
      <c r="E79" s="14"/>
      <c r="F79" s="14"/>
      <c r="G79" s="14"/>
      <c r="H79" s="14"/>
      <c r="I79" s="14"/>
      <c r="J79" s="14"/>
      <c r="K79" s="14"/>
      <c r="L79" s="14"/>
      <c r="M79" s="14"/>
      <c r="N79" s="14"/>
      <c r="O79" s="14"/>
      <c r="P79" s="14"/>
    </row>
    <row r="80" spans="1:17" x14ac:dyDescent="0.2">
      <c r="A80" s="30"/>
      <c r="B80" s="21" t="s">
        <v>184</v>
      </c>
      <c r="C80" s="37" t="e">
        <f>#REF!</f>
        <v>#REF!</v>
      </c>
      <c r="D80" s="14" t="e">
        <f>#REF!*'Fund Flow'!$C80</f>
        <v>#REF!</v>
      </c>
      <c r="E80" s="14" t="e">
        <f>#REF!*'Fund Flow'!$C80</f>
        <v>#REF!</v>
      </c>
      <c r="F80" s="14" t="e">
        <f>#REF!*'Fund Flow'!$C80</f>
        <v>#REF!</v>
      </c>
      <c r="G80" s="14" t="e">
        <f>#REF!*'Fund Flow'!$C80</f>
        <v>#REF!</v>
      </c>
      <c r="H80" s="14" t="e">
        <f>#REF!*'Fund Flow'!$C80</f>
        <v>#REF!</v>
      </c>
      <c r="I80" s="14" t="e">
        <f>#REF!*'Fund Flow'!$C80</f>
        <v>#REF!</v>
      </c>
      <c r="J80" s="14" t="e">
        <f>#REF!*'Fund Flow'!$C80</f>
        <v>#REF!</v>
      </c>
      <c r="K80" s="14" t="e">
        <f>#REF!*'Fund Flow'!$C80</f>
        <v>#REF!</v>
      </c>
      <c r="L80" s="14" t="e">
        <f>#REF!*'Fund Flow'!$C80</f>
        <v>#REF!</v>
      </c>
      <c r="M80" s="14" t="e">
        <f>#REF!*'Fund Flow'!$C80</f>
        <v>#REF!</v>
      </c>
      <c r="N80" s="14" t="e">
        <f>#REF!*'Fund Flow'!$C80</f>
        <v>#REF!</v>
      </c>
      <c r="O80" s="14" t="e">
        <f>#REF!*'Fund Flow'!$C80</f>
        <v>#REF!</v>
      </c>
      <c r="P80" s="14" t="e">
        <f>#REF!*'Fund Flow'!$C80</f>
        <v>#REF!</v>
      </c>
    </row>
    <row r="81" spans="1:16" x14ac:dyDescent="0.2">
      <c r="A81" s="30"/>
      <c r="B81" s="21" t="s">
        <v>185</v>
      </c>
      <c r="C81" s="37" t="e">
        <f>#REF!</f>
        <v>#REF!</v>
      </c>
      <c r="D81" s="14" t="e">
        <f>#REF!*'Fund Flow'!$C81</f>
        <v>#REF!</v>
      </c>
      <c r="E81" s="14" t="e">
        <f>#REF!*'Fund Flow'!$C81</f>
        <v>#REF!</v>
      </c>
      <c r="F81" s="14" t="e">
        <f>#REF!*'Fund Flow'!$C81</f>
        <v>#REF!</v>
      </c>
      <c r="G81" s="14" t="e">
        <f>#REF!*'Fund Flow'!$C81</f>
        <v>#REF!</v>
      </c>
      <c r="H81" s="14" t="e">
        <f>#REF!*'Fund Flow'!$C81</f>
        <v>#REF!</v>
      </c>
      <c r="I81" s="14" t="e">
        <f>#REF!*'Fund Flow'!$C81</f>
        <v>#REF!</v>
      </c>
      <c r="J81" s="14" t="e">
        <f>#REF!*'Fund Flow'!$C81</f>
        <v>#REF!</v>
      </c>
      <c r="K81" s="14" t="e">
        <f>#REF!*'Fund Flow'!$C81</f>
        <v>#REF!</v>
      </c>
      <c r="L81" s="14" t="e">
        <f>#REF!*'Fund Flow'!$C81</f>
        <v>#REF!</v>
      </c>
      <c r="M81" s="14" t="e">
        <f>#REF!*'Fund Flow'!$C81</f>
        <v>#REF!</v>
      </c>
      <c r="N81" s="14" t="e">
        <f>#REF!*'Fund Flow'!$C81</f>
        <v>#REF!</v>
      </c>
      <c r="O81" s="14" t="e">
        <f>#REF!*'Fund Flow'!$C81</f>
        <v>#REF!</v>
      </c>
      <c r="P81" s="14" t="e">
        <f>#REF!*'Fund Flow'!$C81</f>
        <v>#REF!</v>
      </c>
    </row>
    <row r="82" spans="1:16" x14ac:dyDescent="0.2">
      <c r="A82" s="30"/>
      <c r="B82" s="21" t="s">
        <v>186</v>
      </c>
      <c r="C82" s="37" t="e">
        <f>#REF!</f>
        <v>#REF!</v>
      </c>
      <c r="D82" s="14" t="e">
        <f>#REF!*'Fund Flow'!$C82</f>
        <v>#REF!</v>
      </c>
      <c r="E82" s="14" t="e">
        <f>#REF!*'Fund Flow'!$C82</f>
        <v>#REF!</v>
      </c>
      <c r="F82" s="14" t="e">
        <f>#REF!*'Fund Flow'!$C82</f>
        <v>#REF!</v>
      </c>
      <c r="G82" s="14" t="e">
        <f>#REF!*'Fund Flow'!$C82</f>
        <v>#REF!</v>
      </c>
      <c r="H82" s="14" t="e">
        <f>#REF!*'Fund Flow'!$C82</f>
        <v>#REF!</v>
      </c>
      <c r="I82" s="14" t="e">
        <f>#REF!*'Fund Flow'!$C82</f>
        <v>#REF!</v>
      </c>
      <c r="J82" s="14" t="e">
        <f>#REF!*'Fund Flow'!$C82</f>
        <v>#REF!</v>
      </c>
      <c r="K82" s="14" t="e">
        <f>#REF!*'Fund Flow'!$C82</f>
        <v>#REF!</v>
      </c>
      <c r="L82" s="14" t="e">
        <f>#REF!*'Fund Flow'!$C82</f>
        <v>#REF!</v>
      </c>
      <c r="M82" s="14" t="e">
        <f>#REF!*'Fund Flow'!$C82</f>
        <v>#REF!</v>
      </c>
      <c r="N82" s="14" t="e">
        <f>#REF!*'Fund Flow'!$C82</f>
        <v>#REF!</v>
      </c>
      <c r="O82" s="14" t="e">
        <f>#REF!*'Fund Flow'!$C82</f>
        <v>#REF!</v>
      </c>
      <c r="P82" s="14" t="e">
        <f>#REF!*'Fund Flow'!$C82</f>
        <v>#REF!</v>
      </c>
    </row>
    <row r="83" spans="1:16" x14ac:dyDescent="0.2">
      <c r="A83" s="30"/>
      <c r="B83" s="21" t="s">
        <v>187</v>
      </c>
      <c r="C83" s="20"/>
      <c r="D83" s="14" t="e">
        <f>#REF!</f>
        <v>#REF!</v>
      </c>
      <c r="E83" s="14" t="e">
        <f>#REF!</f>
        <v>#REF!</v>
      </c>
      <c r="F83" s="14" t="e">
        <f>#REF!</f>
        <v>#REF!</v>
      </c>
      <c r="G83" s="14" t="e">
        <f>#REF!</f>
        <v>#REF!</v>
      </c>
      <c r="H83" s="14" t="e">
        <f>#REF!</f>
        <v>#REF!</v>
      </c>
      <c r="I83" s="14" t="e">
        <f>#REF!</f>
        <v>#REF!</v>
      </c>
      <c r="J83" s="14" t="e">
        <f>#REF!</f>
        <v>#REF!</v>
      </c>
      <c r="K83" s="14" t="e">
        <f>#REF!</f>
        <v>#REF!</v>
      </c>
      <c r="L83" s="14" t="e">
        <f>#REF!</f>
        <v>#REF!</v>
      </c>
      <c r="M83" s="14" t="e">
        <f>#REF!</f>
        <v>#REF!</v>
      </c>
      <c r="N83" s="14" t="e">
        <f>#REF!</f>
        <v>#REF!</v>
      </c>
      <c r="O83" s="14" t="e">
        <f>#REF!</f>
        <v>#REF!</v>
      </c>
      <c r="P83" s="14" t="e">
        <f>#REF!</f>
        <v>#REF!</v>
      </c>
    </row>
    <row r="84" spans="1:16" x14ac:dyDescent="0.2">
      <c r="A84" s="30"/>
      <c r="B84" s="21" t="s">
        <v>188</v>
      </c>
      <c r="C84" s="37" t="e">
        <f>#REF!</f>
        <v>#REF!</v>
      </c>
      <c r="D84" s="14" t="e">
        <f>#REF!*'Fund Flow'!$C84</f>
        <v>#REF!</v>
      </c>
      <c r="E84" s="14" t="e">
        <f>#REF!*'Fund Flow'!$C84</f>
        <v>#REF!</v>
      </c>
      <c r="F84" s="14" t="e">
        <f>#REF!*'Fund Flow'!$C84</f>
        <v>#REF!</v>
      </c>
      <c r="G84" s="14" t="e">
        <f>#REF!*'Fund Flow'!$C84</f>
        <v>#REF!</v>
      </c>
      <c r="H84" s="14" t="e">
        <f>#REF!*'Fund Flow'!$C84</f>
        <v>#REF!</v>
      </c>
      <c r="I84" s="14" t="e">
        <f>#REF!*'Fund Flow'!$C84</f>
        <v>#REF!</v>
      </c>
      <c r="J84" s="14" t="e">
        <f>#REF!*'Fund Flow'!$C84</f>
        <v>#REF!</v>
      </c>
      <c r="K84" s="14" t="e">
        <f>#REF!*'Fund Flow'!$C84</f>
        <v>#REF!</v>
      </c>
      <c r="L84" s="14" t="e">
        <f>#REF!*'Fund Flow'!$C84</f>
        <v>#REF!</v>
      </c>
      <c r="M84" s="14" t="e">
        <f>#REF!*'Fund Flow'!$C84</f>
        <v>#REF!</v>
      </c>
      <c r="N84" s="14" t="e">
        <f>#REF!*'Fund Flow'!$C84</f>
        <v>#REF!</v>
      </c>
      <c r="O84" s="14" t="e">
        <f>#REF!*'Fund Flow'!$C84</f>
        <v>#REF!</v>
      </c>
      <c r="P84" s="14" t="e">
        <f>#REF!*'Fund Flow'!$C84</f>
        <v>#REF!</v>
      </c>
    </row>
    <row r="85" spans="1:16" x14ac:dyDescent="0.2">
      <c r="A85" s="30"/>
      <c r="B85" s="21" t="s">
        <v>189</v>
      </c>
      <c r="C85" s="20"/>
      <c r="D85" s="14" t="e">
        <f>#REF!</f>
        <v>#REF!</v>
      </c>
      <c r="E85" s="14" t="e">
        <f>#REF!</f>
        <v>#REF!</v>
      </c>
      <c r="F85" s="14" t="e">
        <f>#REF!</f>
        <v>#REF!</v>
      </c>
      <c r="G85" s="14" t="e">
        <f>#REF!</f>
        <v>#REF!</v>
      </c>
      <c r="H85" s="14" t="e">
        <f>#REF!</f>
        <v>#REF!</v>
      </c>
      <c r="I85" s="14" t="e">
        <f>#REF!</f>
        <v>#REF!</v>
      </c>
      <c r="J85" s="14" t="e">
        <f>#REF!</f>
        <v>#REF!</v>
      </c>
      <c r="K85" s="14" t="e">
        <f>#REF!</f>
        <v>#REF!</v>
      </c>
      <c r="L85" s="14" t="e">
        <f>#REF!</f>
        <v>#REF!</v>
      </c>
      <c r="M85" s="14" t="e">
        <f>#REF!</f>
        <v>#REF!</v>
      </c>
      <c r="N85" s="14" t="e">
        <f>#REF!</f>
        <v>#REF!</v>
      </c>
      <c r="O85" s="14" t="e">
        <f>#REF!</f>
        <v>#REF!</v>
      </c>
      <c r="P85" s="14" t="e">
        <f>#REF!</f>
        <v>#REF!</v>
      </c>
    </row>
    <row r="86" spans="1:16" x14ac:dyDescent="0.2">
      <c r="A86" s="30"/>
      <c r="B86" s="36" t="s">
        <v>190</v>
      </c>
      <c r="C86" s="45"/>
      <c r="D86" s="44" t="e">
        <f t="shared" ref="D86:I86" si="9">SUM(D80:D85)</f>
        <v>#REF!</v>
      </c>
      <c r="E86" s="44" t="e">
        <f t="shared" si="9"/>
        <v>#REF!</v>
      </c>
      <c r="F86" s="44" t="e">
        <f t="shared" si="9"/>
        <v>#REF!</v>
      </c>
      <c r="G86" s="44" t="e">
        <f t="shared" si="9"/>
        <v>#REF!</v>
      </c>
      <c r="H86" s="44" t="e">
        <f t="shared" si="9"/>
        <v>#REF!</v>
      </c>
      <c r="I86" s="44" t="e">
        <f t="shared" si="9"/>
        <v>#REF!</v>
      </c>
      <c r="J86" s="44" t="e">
        <f t="shared" ref="J86:P86" si="10">SUM(J80:J85)</f>
        <v>#REF!</v>
      </c>
      <c r="K86" s="44" t="e">
        <f t="shared" si="10"/>
        <v>#REF!</v>
      </c>
      <c r="L86" s="44" t="e">
        <f t="shared" si="10"/>
        <v>#REF!</v>
      </c>
      <c r="M86" s="44" t="e">
        <f t="shared" si="10"/>
        <v>#REF!</v>
      </c>
      <c r="N86" s="44" t="e">
        <f t="shared" si="10"/>
        <v>#REF!</v>
      </c>
      <c r="O86" s="44" t="e">
        <f t="shared" si="10"/>
        <v>#REF!</v>
      </c>
      <c r="P86" s="44" t="e">
        <f t="shared" si="10"/>
        <v>#REF!</v>
      </c>
    </row>
    <row r="87" spans="1:16" x14ac:dyDescent="0.2">
      <c r="A87" s="30"/>
      <c r="B87" s="21"/>
      <c r="C87" s="20"/>
      <c r="D87" s="14"/>
      <c r="E87" s="14"/>
      <c r="F87" s="14"/>
      <c r="G87" s="14"/>
      <c r="H87" s="14"/>
      <c r="I87" s="14"/>
      <c r="J87" s="14"/>
      <c r="K87" s="14"/>
      <c r="L87" s="14"/>
      <c r="M87" s="14"/>
      <c r="N87" s="14"/>
      <c r="O87" s="14"/>
      <c r="P87" s="14"/>
    </row>
    <row r="88" spans="1:16" x14ac:dyDescent="0.2">
      <c r="A88" s="38" t="s">
        <v>191</v>
      </c>
      <c r="B88" s="36" t="s">
        <v>192</v>
      </c>
      <c r="C88" s="20"/>
      <c r="D88" s="39" t="e">
        <f t="shared" ref="D88:I88" si="11">D77-D86</f>
        <v>#REF!</v>
      </c>
      <c r="E88" s="39" t="e">
        <f t="shared" si="11"/>
        <v>#REF!</v>
      </c>
      <c r="F88" s="39" t="e">
        <f t="shared" si="11"/>
        <v>#REF!</v>
      </c>
      <c r="G88" s="39" t="e">
        <f t="shared" si="11"/>
        <v>#REF!</v>
      </c>
      <c r="H88" s="39" t="e">
        <f t="shared" si="11"/>
        <v>#REF!</v>
      </c>
      <c r="I88" s="39" t="e">
        <f t="shared" si="11"/>
        <v>#REF!</v>
      </c>
      <c r="J88" s="39" t="e">
        <f t="shared" ref="J88:P88" si="12">J77-J86</f>
        <v>#REF!</v>
      </c>
      <c r="K88" s="39" t="e">
        <f t="shared" si="12"/>
        <v>#REF!</v>
      </c>
      <c r="L88" s="39" t="e">
        <f t="shared" si="12"/>
        <v>#REF!</v>
      </c>
      <c r="M88" s="39" t="e">
        <f t="shared" si="12"/>
        <v>#REF!</v>
      </c>
      <c r="N88" s="39" t="e">
        <f t="shared" si="12"/>
        <v>#REF!</v>
      </c>
      <c r="O88" s="39" t="e">
        <f t="shared" si="12"/>
        <v>#REF!</v>
      </c>
      <c r="P88" s="39" t="e">
        <f t="shared" si="12"/>
        <v>#REF!</v>
      </c>
    </row>
    <row r="89" spans="1:16" x14ac:dyDescent="0.2">
      <c r="A89" s="30"/>
      <c r="B89" s="21"/>
      <c r="C89" s="20"/>
      <c r="D89" s="14"/>
      <c r="E89" s="14"/>
      <c r="F89" s="14"/>
      <c r="G89" s="14"/>
      <c r="H89" s="14"/>
      <c r="I89" s="14"/>
      <c r="J89" s="14"/>
      <c r="K89" s="14"/>
      <c r="L89" s="14"/>
      <c r="M89" s="14"/>
      <c r="N89" s="14"/>
      <c r="O89" s="14"/>
      <c r="P89" s="14"/>
    </row>
    <row r="90" spans="1:16" x14ac:dyDescent="0.2">
      <c r="A90" s="38" t="s">
        <v>193</v>
      </c>
      <c r="B90" s="36" t="s">
        <v>194</v>
      </c>
      <c r="C90" s="20"/>
      <c r="D90" s="46" t="e">
        <f>IF(#REF!&lt;&gt;0,D86*D62/D77,0)</f>
        <v>#REF!</v>
      </c>
      <c r="E90" s="46" t="e">
        <f>IF(#REF!&lt;&gt;0,E86*E62/E77,0)</f>
        <v>#REF!</v>
      </c>
      <c r="F90" s="46" t="e">
        <f>IF(#REF!&lt;&gt;0,F86*F62/F77,0)</f>
        <v>#REF!</v>
      </c>
      <c r="G90" s="46" t="e">
        <f>IF(#REF!&lt;&gt;0,G86*G62/G77,0)</f>
        <v>#REF!</v>
      </c>
      <c r="H90" s="46" t="e">
        <f>IF(#REF!&lt;&gt;0,H86*H62/H77,0)</f>
        <v>#REF!</v>
      </c>
      <c r="I90" s="46" t="e">
        <f>IF(#REF!&lt;&gt;0,I86*I62/I77,0)</f>
        <v>#REF!</v>
      </c>
      <c r="J90" s="46" t="e">
        <f>IF(#REF!&lt;&gt;0,J86*J62/J77,0)</f>
        <v>#REF!</v>
      </c>
      <c r="K90" s="46" t="e">
        <f>IF(#REF!&lt;&gt;0,K86*K62/K77,0)</f>
        <v>#REF!</v>
      </c>
      <c r="L90" s="46" t="e">
        <f>IF(#REF!&lt;&gt;0,L86*L62/L77,0)</f>
        <v>#REF!</v>
      </c>
      <c r="M90" s="46" t="e">
        <f>IF(#REF!&lt;&gt;0,M86*M62/M77,0)</f>
        <v>#REF!</v>
      </c>
      <c r="N90" s="46" t="e">
        <f>IF(#REF!&lt;&gt;0,N86*N62/N77,0)</f>
        <v>#REF!</v>
      </c>
      <c r="O90" s="46" t="e">
        <f>IF(#REF!&lt;&gt;0,O86*O62/O77,0)</f>
        <v>#REF!</v>
      </c>
      <c r="P90" s="46" t="e">
        <f>IF(#REF!&lt;&gt;0,P86*P62/P77,0)</f>
        <v>#REF!</v>
      </c>
    </row>
    <row r="91" spans="1:16" x14ac:dyDescent="0.2">
      <c r="A91" s="30"/>
      <c r="B91" s="21"/>
      <c r="C91" s="20"/>
      <c r="D91" s="14"/>
      <c r="E91" s="14"/>
      <c r="F91" s="14"/>
      <c r="G91" s="14"/>
      <c r="H91" s="14"/>
      <c r="I91" s="14"/>
      <c r="J91" s="14"/>
      <c r="K91" s="14"/>
      <c r="L91" s="14"/>
      <c r="M91" s="14"/>
      <c r="N91" s="14"/>
      <c r="O91" s="14"/>
      <c r="P91" s="14"/>
    </row>
    <row r="92" spans="1:16" x14ac:dyDescent="0.2">
      <c r="A92" s="47" t="s">
        <v>195</v>
      </c>
      <c r="B92" s="48" t="s">
        <v>196</v>
      </c>
      <c r="C92" s="34"/>
      <c r="D92" s="49" t="e">
        <f>IF(#REF!&lt;&gt;0,(D86-D83)*D62/D77,0)</f>
        <v>#REF!</v>
      </c>
      <c r="E92" s="49" t="e">
        <f>IF(#REF!&lt;&gt;0,(E86-E83)*E62/E77,0)</f>
        <v>#REF!</v>
      </c>
      <c r="F92" s="49" t="e">
        <f>IF(#REF!&lt;&gt;0,(F86-F83)*F62/F77,0)</f>
        <v>#REF!</v>
      </c>
      <c r="G92" s="49" t="e">
        <f>IF(#REF!&lt;&gt;0,(G86-G83)*G62/G77,0)</f>
        <v>#REF!</v>
      </c>
      <c r="H92" s="49" t="e">
        <f>IF(#REF!&lt;&gt;0,(H86-H83)*H62/H77,0)</f>
        <v>#REF!</v>
      </c>
      <c r="I92" s="49" t="e">
        <f>IF(#REF!&lt;&gt;0,(I86-I83)*I62/I77,0)</f>
        <v>#REF!</v>
      </c>
      <c r="J92" s="49" t="e">
        <f>IF(#REF!&lt;&gt;0,(J86-J83)*J62/J77,0)</f>
        <v>#REF!</v>
      </c>
      <c r="K92" s="49" t="e">
        <f>IF(#REF!&lt;&gt;0,(K86-K83)*K62/K77,0)</f>
        <v>#REF!</v>
      </c>
      <c r="L92" s="49" t="e">
        <f>IF(#REF!&lt;&gt;0,(L86-L83)*L62/L77,0)</f>
        <v>#REF!</v>
      </c>
      <c r="M92" s="49" t="e">
        <f>IF(#REF!&lt;&gt;0,(M86-M83)*M62/M77,0)</f>
        <v>#REF!</v>
      </c>
      <c r="N92" s="49" t="e">
        <f>IF(#REF!&lt;&gt;0,(N86-N83)*N62/N77,0)</f>
        <v>#REF!</v>
      </c>
      <c r="O92" s="49" t="e">
        <f>IF(#REF!&lt;&gt;0,(O86-O83)*O62/O77,0)</f>
        <v>#REF!</v>
      </c>
      <c r="P92" s="49" t="e">
        <f>IF(#REF!&lt;&gt;0,(P86-P83)*P62/P77,0)</f>
        <v>#REF!</v>
      </c>
    </row>
    <row r="93" spans="1:16" x14ac:dyDescent="0.2">
      <c r="A93" s="3"/>
      <c r="B93" s="3"/>
      <c r="C93" s="50" t="e">
        <f>IF(Q74&lt;0,"#",0)</f>
        <v>#REF!</v>
      </c>
      <c r="D93" s="51" t="e">
        <f>IF(Q74&lt;0,"INPUT INTEREST FIGURES IN OPERATING STATEMENT",0)</f>
        <v>#REF!</v>
      </c>
      <c r="E93" s="3"/>
      <c r="F93" s="3"/>
      <c r="G93" s="3"/>
      <c r="H93" s="3"/>
      <c r="I93" s="3"/>
      <c r="J93" s="3"/>
      <c r="K93" s="3"/>
      <c r="L93" s="3"/>
      <c r="M93" s="3"/>
      <c r="N93" s="3"/>
      <c r="O93" s="3"/>
      <c r="P93" s="3"/>
    </row>
    <row r="94" spans="1:16" x14ac:dyDescent="0.2">
      <c r="A94" s="3"/>
      <c r="B94" s="3"/>
      <c r="C94" s="3"/>
      <c r="D94" s="3"/>
      <c r="E94" s="3"/>
      <c r="F94" s="3"/>
      <c r="G94" s="3"/>
      <c r="H94" s="3"/>
      <c r="I94" s="3"/>
      <c r="J94" s="3"/>
      <c r="K94" s="3"/>
      <c r="L94" s="3"/>
      <c r="M94" s="3"/>
      <c r="N94" s="3"/>
      <c r="O94" s="3"/>
      <c r="P94" s="3"/>
    </row>
    <row r="95" spans="1:16" x14ac:dyDescent="0.2">
      <c r="A95" s="3"/>
      <c r="B95" s="5" t="s">
        <v>197</v>
      </c>
      <c r="C95" s="3"/>
      <c r="D95" s="3"/>
      <c r="E95" s="3"/>
      <c r="F95" s="3"/>
      <c r="G95" s="3"/>
      <c r="H95" s="3"/>
      <c r="I95" s="3"/>
      <c r="J95" s="3"/>
      <c r="K95" s="3"/>
      <c r="L95" s="3"/>
      <c r="M95" s="3"/>
      <c r="N95" s="3"/>
      <c r="O95" s="3"/>
      <c r="P95" s="3"/>
    </row>
    <row r="96" spans="1:16" x14ac:dyDescent="0.2">
      <c r="A96" s="52"/>
      <c r="B96" s="53" t="e">
        <f>#REF!</f>
        <v>#REF!</v>
      </c>
      <c r="C96" s="29" t="e">
        <f>#REF!</f>
        <v>#REF!</v>
      </c>
      <c r="D96" s="29" t="e">
        <f>#REF!</f>
        <v>#REF!</v>
      </c>
      <c r="E96" s="54" t="e">
        <f>#REF!</f>
        <v>#REF!</v>
      </c>
      <c r="F96" s="29" t="e">
        <f>#REF!</f>
        <v>#REF!</v>
      </c>
      <c r="G96" s="29" t="e">
        <f>#REF!</f>
        <v>#REF!</v>
      </c>
      <c r="H96" s="29" t="e">
        <f>#REF!</f>
        <v>#REF!</v>
      </c>
      <c r="I96" s="29" t="e">
        <f>#REF!</f>
        <v>#REF!</v>
      </c>
      <c r="J96" s="29" t="e">
        <f>#REF!</f>
        <v>#REF!</v>
      </c>
      <c r="K96" s="29" t="e">
        <f>#REF!</f>
        <v>#REF!</v>
      </c>
      <c r="L96" s="29" t="e">
        <f>#REF!</f>
        <v>#REF!</v>
      </c>
      <c r="M96" s="29" t="e">
        <f>#REF!</f>
        <v>#REF!</v>
      </c>
      <c r="N96" s="29" t="e">
        <f>#REF!</f>
        <v>#REF!</v>
      </c>
      <c r="O96" s="29" t="e">
        <f>#REF!</f>
        <v>#REF!</v>
      </c>
      <c r="P96" s="29" t="e">
        <f>#REF!</f>
        <v>#REF!</v>
      </c>
    </row>
    <row r="97" spans="1:16" x14ac:dyDescent="0.2">
      <c r="A97" s="55"/>
      <c r="B97" s="56"/>
      <c r="C97" s="31" t="e">
        <f>#REF!</f>
        <v>#REF!</v>
      </c>
      <c r="D97" s="31" t="e">
        <f>#REF!</f>
        <v>#REF!</v>
      </c>
      <c r="E97" s="57" t="e">
        <f>#REF!</f>
        <v>#REF!</v>
      </c>
      <c r="F97" s="31" t="e">
        <f>#REF!</f>
        <v>#REF!</v>
      </c>
      <c r="G97" s="31" t="e">
        <f>#REF!</f>
        <v>#REF!</v>
      </c>
      <c r="H97" s="31" t="e">
        <f>#REF!</f>
        <v>#REF!</v>
      </c>
      <c r="I97" s="31" t="e">
        <f>#REF!</f>
        <v>#REF!</v>
      </c>
      <c r="J97" s="31" t="e">
        <f>#REF!</f>
        <v>#REF!</v>
      </c>
      <c r="K97" s="31" t="e">
        <f>#REF!</f>
        <v>#REF!</v>
      </c>
      <c r="L97" s="31" t="e">
        <f>#REF!</f>
        <v>#REF!</v>
      </c>
      <c r="M97" s="31" t="e">
        <f>#REF!</f>
        <v>#REF!</v>
      </c>
      <c r="N97" s="31" t="e">
        <f>#REF!</f>
        <v>#REF!</v>
      </c>
      <c r="O97" s="31" t="e">
        <f>#REF!</f>
        <v>#REF!</v>
      </c>
      <c r="P97" s="31" t="e">
        <f>#REF!</f>
        <v>#REF!</v>
      </c>
    </row>
    <row r="98" spans="1:16" x14ac:dyDescent="0.2">
      <c r="A98" s="58"/>
      <c r="B98" s="59"/>
      <c r="C98" s="35" t="e">
        <f>#REF!</f>
        <v>#REF!</v>
      </c>
      <c r="D98" s="35" t="e">
        <f>#REF!</f>
        <v>#REF!</v>
      </c>
      <c r="E98" s="60" t="e">
        <f>#REF!</f>
        <v>#REF!</v>
      </c>
      <c r="F98" s="35" t="e">
        <f>#REF!</f>
        <v>#REF!</v>
      </c>
      <c r="G98" s="35" t="e">
        <f>#REF!</f>
        <v>#REF!</v>
      </c>
      <c r="H98" s="35" t="e">
        <f>#REF!</f>
        <v>#REF!</v>
      </c>
      <c r="I98" s="35" t="e">
        <f>#REF!</f>
        <v>#REF!</v>
      </c>
      <c r="J98" s="35" t="e">
        <f>#REF!</f>
        <v>#REF!</v>
      </c>
      <c r="K98" s="35" t="e">
        <f>#REF!</f>
        <v>#REF!</v>
      </c>
      <c r="L98" s="35" t="e">
        <f>#REF!</f>
        <v>#REF!</v>
      </c>
      <c r="M98" s="35" t="e">
        <f>#REF!</f>
        <v>#REF!</v>
      </c>
      <c r="N98" s="35" t="e">
        <f>#REF!</f>
        <v>#REF!</v>
      </c>
      <c r="O98" s="35" t="e">
        <f>#REF!</f>
        <v>#REF!</v>
      </c>
      <c r="P98" s="35" t="e">
        <f>#REF!</f>
        <v>#REF!</v>
      </c>
    </row>
    <row r="99" spans="1:16" x14ac:dyDescent="0.2">
      <c r="A99" s="61"/>
      <c r="B99" s="62"/>
      <c r="C99" s="63"/>
      <c r="D99" s="63"/>
      <c r="E99" s="63"/>
      <c r="F99" s="63"/>
      <c r="G99" s="63"/>
      <c r="H99" s="63"/>
      <c r="I99" s="63"/>
      <c r="J99" s="63"/>
      <c r="K99" s="63"/>
      <c r="L99" s="63"/>
      <c r="M99" s="63"/>
      <c r="N99" s="63"/>
      <c r="O99" s="63"/>
      <c r="P99" s="63"/>
    </row>
    <row r="100" spans="1:16" x14ac:dyDescent="0.2">
      <c r="A100" s="61"/>
      <c r="B100" s="64" t="s">
        <v>198</v>
      </c>
      <c r="C100" s="39" t="e">
        <f>#REF!</f>
        <v>#REF!</v>
      </c>
      <c r="D100" s="39" t="e">
        <f>#REF!</f>
        <v>#REF!</v>
      </c>
      <c r="E100" s="39" t="e">
        <f>#REF!</f>
        <v>#REF!</v>
      </c>
      <c r="F100" s="39" t="e">
        <f>#REF!</f>
        <v>#REF!</v>
      </c>
      <c r="G100" s="39" t="e">
        <f>#REF!</f>
        <v>#REF!</v>
      </c>
      <c r="H100" s="39" t="e">
        <f>#REF!</f>
        <v>#REF!</v>
      </c>
      <c r="I100" s="39" t="e">
        <f>#REF!</f>
        <v>#REF!</v>
      </c>
      <c r="J100" s="39" t="e">
        <f>#REF!</f>
        <v>#REF!</v>
      </c>
      <c r="K100" s="39" t="e">
        <f>#REF!</f>
        <v>#REF!</v>
      </c>
      <c r="L100" s="39" t="e">
        <f>#REF!</f>
        <v>#REF!</v>
      </c>
      <c r="M100" s="39" t="e">
        <f>#REF!</f>
        <v>#REF!</v>
      </c>
      <c r="N100" s="39" t="e">
        <f>#REF!</f>
        <v>#REF!</v>
      </c>
      <c r="O100" s="39" t="e">
        <f>#REF!</f>
        <v>#REF!</v>
      </c>
      <c r="P100" s="39" t="e">
        <f>#REF!</f>
        <v>#REF!</v>
      </c>
    </row>
    <row r="101" spans="1:16" x14ac:dyDescent="0.2">
      <c r="A101" s="61"/>
      <c r="B101" s="64" t="s">
        <v>199</v>
      </c>
      <c r="C101" s="39" t="e">
        <f>SUM(#REF!)+#REF!</f>
        <v>#REF!</v>
      </c>
      <c r="D101" s="39" t="e">
        <f>SUM(#REF!)+#REF!</f>
        <v>#REF!</v>
      </c>
      <c r="E101" s="39" t="e">
        <f>SUM(#REF!)+#REF!</f>
        <v>#REF!</v>
      </c>
      <c r="F101" s="39" t="e">
        <f>SUM(#REF!)+#REF!</f>
        <v>#REF!</v>
      </c>
      <c r="G101" s="39" t="e">
        <f>SUM(#REF!)+#REF!</f>
        <v>#REF!</v>
      </c>
      <c r="H101" s="39" t="e">
        <f>SUM(#REF!)+#REF!</f>
        <v>#REF!</v>
      </c>
      <c r="I101" s="39" t="e">
        <f>SUM(#REF!)+#REF!</f>
        <v>#REF!</v>
      </c>
      <c r="J101" s="39" t="e">
        <f>SUM(#REF!)+#REF!</f>
        <v>#REF!</v>
      </c>
      <c r="K101" s="39" t="e">
        <f>SUM(#REF!)+#REF!</f>
        <v>#REF!</v>
      </c>
      <c r="L101" s="39" t="e">
        <f>SUM(#REF!)+#REF!</f>
        <v>#REF!</v>
      </c>
      <c r="M101" s="39" t="e">
        <f>SUM(#REF!)+#REF!</f>
        <v>#REF!</v>
      </c>
      <c r="N101" s="39" t="e">
        <f>SUM(#REF!)+#REF!</f>
        <v>#REF!</v>
      </c>
      <c r="O101" s="39" t="e">
        <f>SUM(#REF!)+#REF!</f>
        <v>#REF!</v>
      </c>
      <c r="P101" s="39" t="e">
        <f>SUM(#REF!)+#REF!</f>
        <v>#REF!</v>
      </c>
    </row>
    <row r="102" spans="1:16" x14ac:dyDescent="0.2">
      <c r="A102" s="61"/>
      <c r="B102" s="64" t="s">
        <v>197</v>
      </c>
      <c r="C102" s="39" t="e">
        <f t="shared" ref="C102:P102" si="13">C100-C101</f>
        <v>#REF!</v>
      </c>
      <c r="D102" s="39" t="e">
        <f t="shared" si="13"/>
        <v>#REF!</v>
      </c>
      <c r="E102" s="39" t="e">
        <f t="shared" si="13"/>
        <v>#REF!</v>
      </c>
      <c r="F102" s="39" t="e">
        <f t="shared" si="13"/>
        <v>#REF!</v>
      </c>
      <c r="G102" s="39" t="e">
        <f t="shared" si="13"/>
        <v>#REF!</v>
      </c>
      <c r="H102" s="39" t="e">
        <f t="shared" si="13"/>
        <v>#REF!</v>
      </c>
      <c r="I102" s="39" t="e">
        <f t="shared" si="13"/>
        <v>#REF!</v>
      </c>
      <c r="J102" s="39" t="e">
        <f t="shared" si="13"/>
        <v>#REF!</v>
      </c>
      <c r="K102" s="39" t="e">
        <f t="shared" si="13"/>
        <v>#REF!</v>
      </c>
      <c r="L102" s="39" t="e">
        <f t="shared" si="13"/>
        <v>#REF!</v>
      </c>
      <c r="M102" s="39" t="e">
        <f t="shared" si="13"/>
        <v>#REF!</v>
      </c>
      <c r="N102" s="39" t="e">
        <f t="shared" si="13"/>
        <v>#REF!</v>
      </c>
      <c r="O102" s="39" t="e">
        <f t="shared" si="13"/>
        <v>#REF!</v>
      </c>
      <c r="P102" s="39" t="e">
        <f t="shared" si="13"/>
        <v>#REF!</v>
      </c>
    </row>
    <row r="103" spans="1:16" x14ac:dyDescent="0.2">
      <c r="A103" s="61"/>
      <c r="B103" s="64" t="s">
        <v>200</v>
      </c>
      <c r="C103" s="65" t="e">
        <f>IF(#REF!&lt;&gt;0,C102/C100,0)</f>
        <v>#REF!</v>
      </c>
      <c r="D103" s="65" t="e">
        <f>IF(#REF!&lt;&gt;0,D102/D100,0)</f>
        <v>#REF!</v>
      </c>
      <c r="E103" s="65" t="e">
        <f>IF(#REF!&lt;&gt;0,E102/E100,0)</f>
        <v>#REF!</v>
      </c>
      <c r="F103" s="65" t="e">
        <f>IF(#REF!&lt;&gt;0,F102/F100,0)</f>
        <v>#REF!</v>
      </c>
      <c r="G103" s="65" t="e">
        <f>IF(#REF!&lt;&gt;0,G102/G100,0)</f>
        <v>#REF!</v>
      </c>
      <c r="H103" s="65" t="e">
        <f>IF(#REF!&lt;&gt;0,H102/H100,0)</f>
        <v>#REF!</v>
      </c>
      <c r="I103" s="65" t="e">
        <f>IF(#REF!&lt;&gt;0,I102/I100,0)</f>
        <v>#REF!</v>
      </c>
      <c r="J103" s="65" t="e">
        <f>IF(#REF!&lt;&gt;0,J102/J100,0)</f>
        <v>#REF!</v>
      </c>
      <c r="K103" s="65" t="e">
        <f>IF(#REF!&lt;&gt;0,K102/K100,0)</f>
        <v>#REF!</v>
      </c>
      <c r="L103" s="65" t="e">
        <f>IF(#REF!&lt;&gt;0,L102/L100,0)</f>
        <v>#REF!</v>
      </c>
      <c r="M103" s="65" t="e">
        <f>IF(#REF!&lt;&gt;0,M102/M100,0)</f>
        <v>#REF!</v>
      </c>
      <c r="N103" s="65" t="e">
        <f>IF(#REF!&lt;&gt;0,N102/N100,0)</f>
        <v>#REF!</v>
      </c>
      <c r="O103" s="65" t="e">
        <f>IF(#REF!&lt;&gt;0,O102/O100,0)</f>
        <v>#REF!</v>
      </c>
      <c r="P103" s="65" t="e">
        <f>IF(#REF!&lt;&gt;0,P102/P100,0)</f>
        <v>#REF!</v>
      </c>
    </row>
    <row r="104" spans="1:16" x14ac:dyDescent="0.2">
      <c r="A104" s="3"/>
      <c r="B104" s="3"/>
      <c r="C104" s="3"/>
      <c r="D104" s="3"/>
      <c r="E104" s="3"/>
      <c r="F104" s="3"/>
      <c r="G104" s="3"/>
      <c r="H104" s="3"/>
      <c r="I104" s="3"/>
      <c r="J104" s="3"/>
      <c r="K104" s="3"/>
      <c r="L104" s="3"/>
      <c r="M104" s="3"/>
      <c r="N104" s="3"/>
      <c r="O104" s="3"/>
      <c r="P104" s="3"/>
    </row>
  </sheetData>
  <phoneticPr fontId="2" type="noConversion"/>
  <pageMargins left="0.5" right="0.75" top="1" bottom="1" header="0.5" footer="0.5"/>
  <pageSetup orientation="portrait" blackAndWhite="1"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V70"/>
  <sheetViews>
    <sheetView topLeftCell="A46" zoomScale="90" zoomScaleNormal="90" workbookViewId="0">
      <selection activeCell="D1" sqref="D1"/>
    </sheetView>
  </sheetViews>
  <sheetFormatPr defaultRowHeight="14.25" x14ac:dyDescent="0.2"/>
  <cols>
    <col min="1" max="1" width="57" style="276" customWidth="1"/>
    <col min="2" max="11" width="10.7109375" style="289" customWidth="1"/>
    <col min="12" max="21" width="10.7109375" style="276" customWidth="1"/>
    <col min="22" max="22" width="5.5703125" style="276" customWidth="1"/>
    <col min="23" max="16384" width="9.140625" style="276"/>
  </cols>
  <sheetData>
    <row r="1" spans="1:22" ht="14.25" customHeight="1" x14ac:dyDescent="0.25">
      <c r="A1" s="635" t="s">
        <v>456</v>
      </c>
      <c r="B1" s="628"/>
      <c r="C1" s="636"/>
      <c r="D1" s="636"/>
      <c r="E1" s="636"/>
      <c r="F1" s="636"/>
      <c r="G1" s="636"/>
      <c r="H1" s="636"/>
      <c r="I1" s="636"/>
      <c r="J1" s="636"/>
      <c r="K1" s="636"/>
      <c r="L1" s="637"/>
      <c r="M1" s="637"/>
      <c r="N1" s="637"/>
      <c r="O1" s="637"/>
      <c r="P1" s="637"/>
      <c r="Q1" s="637"/>
      <c r="R1" s="637"/>
      <c r="S1" s="637"/>
      <c r="T1" s="637"/>
      <c r="U1" s="637"/>
      <c r="V1" s="637"/>
    </row>
    <row r="2" spans="1:22" s="278" customFormat="1" ht="15" x14ac:dyDescent="0.25">
      <c r="A2" s="277" t="s">
        <v>469</v>
      </c>
      <c r="B2" s="261">
        <f>'Oper.St.'!C11</f>
        <v>2020</v>
      </c>
      <c r="C2" s="261">
        <f>'Oper.St.'!D11</f>
        <v>2021</v>
      </c>
      <c r="D2" s="261">
        <f>'Oper.St.'!E11</f>
        <v>2022</v>
      </c>
      <c r="E2" s="261">
        <f>'Oper.St.'!F11</f>
        <v>2023</v>
      </c>
      <c r="F2" s="261">
        <f>'Oper.St.'!G11</f>
        <v>2024</v>
      </c>
      <c r="G2" s="261">
        <f>'Oper.St.'!H11</f>
        <v>2025</v>
      </c>
      <c r="H2" s="261">
        <f>'Oper.St.'!I11</f>
        <v>2026</v>
      </c>
      <c r="I2" s="261">
        <f>'Oper.St.'!J11</f>
        <v>2027</v>
      </c>
      <c r="J2" s="261">
        <f>'Oper.St.'!K11</f>
        <v>2028</v>
      </c>
      <c r="K2" s="261">
        <f>'Oper.St.'!L11</f>
        <v>2029</v>
      </c>
      <c r="L2" s="261">
        <f>'Oper.St.'!M11</f>
        <v>2030</v>
      </c>
      <c r="M2" s="261">
        <f>'Oper.St.'!N11</f>
        <v>2031</v>
      </c>
      <c r="N2" s="261">
        <f>'Oper.St.'!O11</f>
        <v>2032</v>
      </c>
      <c r="O2" s="261">
        <f>'Oper.St.'!P11</f>
        <v>2033</v>
      </c>
      <c r="P2" s="261">
        <f>'Oper.St.'!Q11</f>
        <v>2034</v>
      </c>
      <c r="Q2" s="261">
        <f>'Oper.St.'!R11</f>
        <v>2035</v>
      </c>
      <c r="R2" s="261">
        <f>'Oper.St.'!S11</f>
        <v>2036</v>
      </c>
      <c r="S2" s="261">
        <f>'Oper.St.'!T11</f>
        <v>2037</v>
      </c>
      <c r="T2" s="261">
        <f>'Oper.St.'!U11</f>
        <v>2038</v>
      </c>
      <c r="U2" s="261">
        <f>'Oper.St.'!V11</f>
        <v>2039</v>
      </c>
      <c r="V2" s="639"/>
    </row>
    <row r="3" spans="1:22" s="278" customFormat="1" ht="15" x14ac:dyDescent="0.25">
      <c r="A3" s="277"/>
      <c r="B3" s="261" t="str">
        <f>'Oper.St.'!C12</f>
        <v>AUD.</v>
      </c>
      <c r="C3" s="261" t="str">
        <f>'Oper.St.'!D12</f>
        <v>AUD.</v>
      </c>
      <c r="D3" s="261" t="str">
        <f>'Oper.St.'!E12</f>
        <v>AUD.</v>
      </c>
      <c r="E3" s="261" t="str">
        <f>'Oper.St.'!F12</f>
        <v>EST.</v>
      </c>
      <c r="F3" s="261" t="str">
        <f>'Oper.St.'!G12</f>
        <v>PROJ.</v>
      </c>
      <c r="G3" s="261" t="str">
        <f>'Oper.St.'!H12</f>
        <v>PROJ.</v>
      </c>
      <c r="H3" s="261" t="str">
        <f>'Oper.St.'!I12</f>
        <v>PROJ.</v>
      </c>
      <c r="I3" s="261" t="str">
        <f>'Oper.St.'!J12</f>
        <v>PROJ.</v>
      </c>
      <c r="J3" s="261" t="str">
        <f>'Oper.St.'!K12</f>
        <v>PROJ.</v>
      </c>
      <c r="K3" s="261" t="str">
        <f>'Oper.St.'!L12</f>
        <v>PROJ.</v>
      </c>
      <c r="L3" s="261" t="str">
        <f>'Oper.St.'!M12</f>
        <v>PROJ.</v>
      </c>
      <c r="M3" s="261" t="str">
        <f>'Oper.St.'!N12</f>
        <v>PROJ.</v>
      </c>
      <c r="N3" s="261" t="str">
        <f>'Oper.St.'!O12</f>
        <v>PROJ.</v>
      </c>
      <c r="O3" s="261" t="str">
        <f>'Oper.St.'!P12</f>
        <v>PROJ.</v>
      </c>
      <c r="P3" s="261" t="str">
        <f>'Oper.St.'!Q12</f>
        <v>PROJ.</v>
      </c>
      <c r="Q3" s="261" t="str">
        <f>'Oper.St.'!R12</f>
        <v>PROJ.</v>
      </c>
      <c r="R3" s="261" t="str">
        <f>'Oper.St.'!S12</f>
        <v>PROJ.</v>
      </c>
      <c r="S3" s="261" t="str">
        <f>'Oper.St.'!T12</f>
        <v>PROJ.</v>
      </c>
      <c r="T3" s="261" t="str">
        <f>'Oper.St.'!U12</f>
        <v>PROJ.</v>
      </c>
      <c r="U3" s="261" t="str">
        <f>'Oper.St.'!V12</f>
        <v>PROJ.</v>
      </c>
      <c r="V3" s="639"/>
    </row>
    <row r="4" spans="1:22" s="278" customFormat="1" ht="15" x14ac:dyDescent="0.25">
      <c r="A4" s="279" t="s">
        <v>484</v>
      </c>
      <c r="B4" s="280">
        <v>0</v>
      </c>
      <c r="C4" s="281">
        <f t="shared" ref="C4:U4" si="0">B13</f>
        <v>6.9999999999999979E-2</v>
      </c>
      <c r="D4" s="281">
        <f t="shared" si="0"/>
        <v>0.15999999999999998</v>
      </c>
      <c r="E4" s="281">
        <f t="shared" si="0"/>
        <v>0.43000000000000016</v>
      </c>
      <c r="F4" s="281">
        <f t="shared" si="0"/>
        <v>8.5570000000000004</v>
      </c>
      <c r="G4" s="281">
        <f t="shared" si="0"/>
        <v>11.237</v>
      </c>
      <c r="H4" s="281">
        <f t="shared" si="0"/>
        <v>12.454507500000002</v>
      </c>
      <c r="I4" s="281">
        <f t="shared" si="0"/>
        <v>14.101916500000002</v>
      </c>
      <c r="J4" s="281">
        <f t="shared" si="0"/>
        <v>15.943643750000001</v>
      </c>
      <c r="K4" s="281">
        <f t="shared" si="0"/>
        <v>17.964723249999995</v>
      </c>
      <c r="L4" s="281">
        <f t="shared" si="0"/>
        <v>20.183128249999996</v>
      </c>
      <c r="M4" s="281">
        <f t="shared" si="0"/>
        <v>22.732396999999995</v>
      </c>
      <c r="N4" s="281">
        <f t="shared" si="0"/>
        <v>12.612396999999996</v>
      </c>
      <c r="O4" s="281">
        <f t="shared" si="0"/>
        <v>12.612396999999996</v>
      </c>
      <c r="P4" s="281">
        <f t="shared" si="0"/>
        <v>12.612396999999996</v>
      </c>
      <c r="Q4" s="281">
        <f t="shared" si="0"/>
        <v>12.612396999999996</v>
      </c>
      <c r="R4" s="281">
        <f t="shared" si="0"/>
        <v>12.612396999999996</v>
      </c>
      <c r="S4" s="281">
        <f t="shared" si="0"/>
        <v>12.612396999999996</v>
      </c>
      <c r="T4" s="281">
        <f t="shared" si="0"/>
        <v>12.612396999999996</v>
      </c>
      <c r="U4" s="281">
        <f t="shared" si="0"/>
        <v>12.612396999999996</v>
      </c>
      <c r="V4" s="639"/>
    </row>
    <row r="5" spans="1:22" x14ac:dyDescent="0.2">
      <c r="A5" s="282" t="s">
        <v>391</v>
      </c>
      <c r="B5" s="280">
        <v>0</v>
      </c>
      <c r="C5" s="256" t="str">
        <f>IF(Liab!D97-Liab!C97=0,"",Liab!D97-Liab!C97)</f>
        <v/>
      </c>
      <c r="D5" s="256" t="str">
        <f>IF(Liab!E97-Liab!D97=0,"",Liab!E97-Liab!D97)</f>
        <v/>
      </c>
      <c r="E5" s="256" t="str">
        <f>IF(Liab!F97-Liab!E97=0,"",Liab!F97-Liab!E97)</f>
        <v/>
      </c>
      <c r="F5" s="256" t="str">
        <f>IF(Liab!G97-Liab!F97=0,"",Liab!G97-Liab!F97)</f>
        <v/>
      </c>
      <c r="G5" s="256" t="str">
        <f>IF(Liab!H97-Liab!G97=0,"",Liab!H97-Liab!G97)</f>
        <v/>
      </c>
      <c r="H5" s="256" t="str">
        <f>IF(Liab!I97-Liab!H97=0,"",Liab!I97-Liab!H97)</f>
        <v/>
      </c>
      <c r="I5" s="256" t="str">
        <f>IF(Liab!J97-Liab!I97=0,"",Liab!J97-Liab!I97)</f>
        <v/>
      </c>
      <c r="J5" s="256" t="str">
        <f>IF(Liab!K97-Liab!J97=0,"",Liab!K97-Liab!J97)</f>
        <v/>
      </c>
      <c r="K5" s="256" t="str">
        <f>IF(Liab!L97-Liab!K97=0,"",Liab!L97-Liab!K97)</f>
        <v/>
      </c>
      <c r="L5" s="256" t="str">
        <f>IF(Liab!M97-Liab!L97=0,"",Liab!M97-Liab!L97)</f>
        <v/>
      </c>
      <c r="M5" s="256" t="str">
        <f>IF(Liab!N97-Liab!M97=0,"",Liab!N97-Liab!M97)</f>
        <v/>
      </c>
      <c r="N5" s="256" t="str">
        <f>IF(Liab!O97-Liab!N97=0,"",Liab!O97-Liab!N97)</f>
        <v/>
      </c>
      <c r="O5" s="256" t="str">
        <f>IF(Liab!P97-Liab!O97=0,"",Liab!P97-Liab!O97)</f>
        <v/>
      </c>
      <c r="P5" s="256" t="str">
        <f>IF(Liab!Q97-Liab!P97=0,"",Liab!Q97-Liab!P97)</f>
        <v/>
      </c>
      <c r="Q5" s="256" t="str">
        <f>IF(Liab!R97-Liab!Q97=0,"",Liab!R97-Liab!Q97)</f>
        <v/>
      </c>
      <c r="R5" s="256" t="str">
        <f>IF(Liab!S97-Liab!R97=0,"",Liab!S97-Liab!R97)</f>
        <v/>
      </c>
      <c r="S5" s="256" t="str">
        <f>IF(Liab!T97-Liab!S97=0,"",Liab!T97-Liab!S97)</f>
        <v/>
      </c>
      <c r="T5" s="256" t="str">
        <f>IF(Liab!U97-Liab!T97=0,"",Liab!U97-Liab!T97)</f>
        <v/>
      </c>
      <c r="U5" s="256" t="str">
        <f>IF(Liab!V97-Liab!U97=0,"",Liab!V97-Liab!U97)</f>
        <v/>
      </c>
      <c r="V5" s="637"/>
    </row>
    <row r="6" spans="1:22" s="344" customFormat="1" x14ac:dyDescent="0.2">
      <c r="A6" s="342" t="s">
        <v>1018</v>
      </c>
      <c r="B6" s="343">
        <f>IF(ISERROR('Oper.St.'!C98+'Oper.St.'!C85),"",IF('Oper.St.'!C98+'Oper.St.'!C85=0,"",'Oper.St.'!C98+'Oper.St.'!C85))</f>
        <v>6.9999999999999979E-2</v>
      </c>
      <c r="C6" s="343">
        <f>IF(ISERROR('Oper.St.'!D98+'Oper.St.'!D85),"",IF('Oper.St.'!D98+'Oper.St.'!D85=0,"",'Oper.St.'!D98+'Oper.St.'!D85))</f>
        <v>0.09</v>
      </c>
      <c r="D6" s="343">
        <f>IF(ISERROR('Oper.St.'!E98+'Oper.St.'!E85),"",IF('Oper.St.'!E98+'Oper.St.'!E85=0,"",'Oper.St.'!E98+'Oper.St.'!E85))</f>
        <v>0.27000000000000018</v>
      </c>
      <c r="E6" s="343">
        <f>IF(ISERROR('Oper.St.'!F98+'Oper.St.'!F85),"",IF('Oper.St.'!F98+'Oper.St.'!F85=0,"",'Oper.St.'!F98+'Oper.St.'!F85))</f>
        <v>0.21699999999999989</v>
      </c>
      <c r="F6" s="343">
        <f>IF(ISERROR('Oper.St.'!G98+'Oper.St.'!G85),"",IF('Oper.St.'!G98+'Oper.St.'!G85=0,"",'Oper.St.'!G98+'Oper.St.'!G85))</f>
        <v>0.56000000000000028</v>
      </c>
      <c r="G6" s="343">
        <f>IF(ISERROR('Oper.St.'!H98+'Oper.St.'!H85),"",IF('Oper.St.'!H98+'Oper.St.'!H85=0,"",'Oper.St.'!H98+'Oper.St.'!H85))</f>
        <v>1.1975075000000017</v>
      </c>
      <c r="H6" s="343">
        <f>IF(ISERROR('Oper.St.'!I98+'Oper.St.'!I85),"",IF('Oper.St.'!I98+'Oper.St.'!I85=0,"",'Oper.St.'!I98+'Oper.St.'!I85))</f>
        <v>1.627409000000001</v>
      </c>
      <c r="I6" s="343">
        <f>IF(ISERROR('Oper.St.'!J98+'Oper.St.'!J85),"",IF('Oper.St.'!J98+'Oper.St.'!J85=0,"",'Oper.St.'!J98+'Oper.St.'!J85))</f>
        <v>1.8217272499999999</v>
      </c>
      <c r="J6" s="343">
        <f>IF(ISERROR('Oper.St.'!K98+'Oper.St.'!K85),"",IF('Oper.St.'!K98+'Oper.St.'!K85=0,"",'Oper.St.'!K98+'Oper.St.'!K85))</f>
        <v>2.0010794999999959</v>
      </c>
      <c r="K6" s="343">
        <f>IF(ISERROR('Oper.St.'!L98+'Oper.St.'!L85),"",IF('Oper.St.'!L98+'Oper.St.'!L85=0,"",'Oper.St.'!L98+'Oper.St.'!L85))</f>
        <v>2.2184050000000006</v>
      </c>
      <c r="L6" s="343">
        <f>IF(ISERROR('Oper.St.'!M98+'Oper.St.'!M85),"",IF('Oper.St.'!M98+'Oper.St.'!M85=0,"",'Oper.St.'!M98+'Oper.St.'!M85))</f>
        <v>2.5492687499999991</v>
      </c>
      <c r="M6" s="343" t="str">
        <f>IF(ISERROR('Oper.St.'!N98+'Oper.St.'!N85),"",IF('Oper.St.'!N98+'Oper.St.'!N85=0,"",'Oper.St.'!N98+'Oper.St.'!N85))</f>
        <v/>
      </c>
      <c r="N6" s="343" t="str">
        <f>IF(ISERROR('Oper.St.'!O98+'Oper.St.'!O85),"",IF('Oper.St.'!O98+'Oper.St.'!O85=0,"",'Oper.St.'!O98+'Oper.St.'!O85))</f>
        <v/>
      </c>
      <c r="O6" s="343" t="str">
        <f>IF(ISERROR('Oper.St.'!P98+'Oper.St.'!P85),"",IF('Oper.St.'!P98+'Oper.St.'!P85=0,"",'Oper.St.'!P98+'Oper.St.'!P85))</f>
        <v/>
      </c>
      <c r="P6" s="343" t="str">
        <f>IF(ISERROR('Oper.St.'!Q98+'Oper.St.'!Q85),"",IF('Oper.St.'!Q98+'Oper.St.'!Q85=0,"",'Oper.St.'!Q98+'Oper.St.'!Q85))</f>
        <v/>
      </c>
      <c r="Q6" s="343" t="str">
        <f>IF(ISERROR('Oper.St.'!R98+'Oper.St.'!R85),"",IF('Oper.St.'!R98+'Oper.St.'!R85=0,"",'Oper.St.'!R98+'Oper.St.'!R85))</f>
        <v/>
      </c>
      <c r="R6" s="343" t="str">
        <f>IF(ISERROR('Oper.St.'!S98+'Oper.St.'!S85),"",IF('Oper.St.'!S98+'Oper.St.'!S85=0,"",'Oper.St.'!S98+'Oper.St.'!S85))</f>
        <v/>
      </c>
      <c r="S6" s="343" t="str">
        <f>IF(ISERROR('Oper.St.'!T98+'Oper.St.'!T85),"",IF('Oper.St.'!T98+'Oper.St.'!T85=0,"",'Oper.St.'!T98+'Oper.St.'!T85))</f>
        <v/>
      </c>
      <c r="T6" s="343" t="str">
        <f>IF(ISERROR('Oper.St.'!U98+'Oper.St.'!U85),"",IF('Oper.St.'!U98+'Oper.St.'!U85=0,"",'Oper.St.'!U98+'Oper.St.'!U85))</f>
        <v/>
      </c>
      <c r="U6" s="343" t="str">
        <f>IF(ISERROR('Oper.St.'!V98+'Oper.St.'!V85),"",IF('Oper.St.'!V98+'Oper.St.'!V85=0,"",'Oper.St.'!V98+'Oper.St.'!V85))</f>
        <v/>
      </c>
      <c r="V6" s="640"/>
    </row>
    <row r="7" spans="1:22" s="344" customFormat="1" x14ac:dyDescent="0.2">
      <c r="A7" s="342" t="s">
        <v>610</v>
      </c>
      <c r="B7" s="346">
        <v>0</v>
      </c>
      <c r="C7" s="343" t="str">
        <f>IF(Liab!D84-Liab!C84=0, "", Liab!D84-Liab!C84)</f>
        <v/>
      </c>
      <c r="D7" s="343" t="str">
        <f>IF(Liab!E84-Liab!D84=0, "", Liab!E84-Liab!D84)</f>
        <v/>
      </c>
      <c r="E7" s="343">
        <f>IF(Liab!F84-Liab!E84=0, "", Liab!F84-Liab!E84)</f>
        <v>7.99</v>
      </c>
      <c r="F7" s="343">
        <f>IF(Liab!G84-Liab!F84=0, "", Liab!G84-Liab!F84)</f>
        <v>2.1199999999999992</v>
      </c>
      <c r="G7" s="343" t="str">
        <f>IF(Liab!H84-Liab!G84=0, "", Liab!H84-Liab!G84)</f>
        <v/>
      </c>
      <c r="H7" s="343" t="str">
        <f>IF(Liab!I84-Liab!H84=0, "", Liab!I84-Liab!H84)</f>
        <v/>
      </c>
      <c r="I7" s="343" t="str">
        <f>IF(Liab!J84-Liab!I84=0, "", Liab!J84-Liab!I84)</f>
        <v/>
      </c>
      <c r="J7" s="343" t="str">
        <f>IF(Liab!K84-Liab!J84=0, "", Liab!K84-Liab!J84)</f>
        <v/>
      </c>
      <c r="K7" s="343" t="str">
        <f>IF(Liab!L84-Liab!K84=0, "", Liab!L84-Liab!K84)</f>
        <v/>
      </c>
      <c r="L7" s="343" t="str">
        <f>IF(Liab!M84-Liab!L84=0, "", Liab!M84-Liab!L84)</f>
        <v/>
      </c>
      <c r="M7" s="343">
        <f>IF(Liab!N84-Liab!M84=0, "", Liab!N84-Liab!M84)</f>
        <v>-10.119999999999999</v>
      </c>
      <c r="N7" s="343" t="str">
        <f>IF(Liab!O84-Liab!N84=0, "", Liab!O84-Liab!N84)</f>
        <v/>
      </c>
      <c r="O7" s="343" t="str">
        <f>IF(Liab!P84-Liab!O84=0, "", Liab!P84-Liab!O84)</f>
        <v/>
      </c>
      <c r="P7" s="343" t="str">
        <f>IF(Liab!Q84-Liab!P84=0, "", Liab!Q84-Liab!P84)</f>
        <v/>
      </c>
      <c r="Q7" s="343" t="str">
        <f>IF(Liab!R84-Liab!Q84=0, "", Liab!R84-Liab!Q84)</f>
        <v/>
      </c>
      <c r="R7" s="343" t="str">
        <f>IF(Liab!S84-Liab!R84=0, "", Liab!S84-Liab!R84)</f>
        <v/>
      </c>
      <c r="S7" s="343" t="str">
        <f>IF(Liab!T84-Liab!S84=0, "", Liab!T84-Liab!S84)</f>
        <v/>
      </c>
      <c r="T7" s="343" t="str">
        <f>IF(Liab!U84-Liab!T84=0, "", Liab!U84-Liab!T84)</f>
        <v/>
      </c>
      <c r="U7" s="343" t="str">
        <f>IF(Liab!V84-Liab!U84=0, "", Liab!V84-Liab!U84)</f>
        <v/>
      </c>
      <c r="V7" s="640"/>
    </row>
    <row r="8" spans="1:22" s="344" customFormat="1" x14ac:dyDescent="0.2">
      <c r="A8" s="342" t="s">
        <v>863</v>
      </c>
      <c r="B8" s="346">
        <v>0</v>
      </c>
      <c r="C8" s="343" t="str">
        <f>IF(SUM(Liab!D91:D95)-SUM(Liab!C91:C95)=0,"",SUM(Liab!D91:D95)-SUM(Liab!C91:C95))</f>
        <v/>
      </c>
      <c r="D8" s="343" t="str">
        <f>IF(SUM(Liab!E91:E95)-SUM(Liab!D91:D95)=0,"",SUM(Liab!E91:E95)-SUM(Liab!D91:D95))</f>
        <v/>
      </c>
      <c r="E8" s="343" t="str">
        <f>IF(SUM(Liab!F91:F95)-SUM(Liab!E91:E95)=0,"",SUM(Liab!F91:F95)-SUM(Liab!E91:E95))</f>
        <v/>
      </c>
      <c r="F8" s="343" t="str">
        <f>IF(SUM(Liab!G91:G95)-SUM(Liab!F91:F95)=0,"",SUM(Liab!G91:G95)-SUM(Liab!F91:F95))</f>
        <v/>
      </c>
      <c r="G8" s="343" t="str">
        <f>IF(SUM(Liab!H91:H95)-SUM(Liab!G91:G95)=0,"",SUM(Liab!H91:H95)-SUM(Liab!G91:G95))</f>
        <v/>
      </c>
      <c r="H8" s="343" t="str">
        <f>IF(SUM(Liab!I91:I95)-SUM(Liab!H91:H95)=0,"",SUM(Liab!I91:I95)-SUM(Liab!H91:H95))</f>
        <v/>
      </c>
      <c r="I8" s="343" t="str">
        <f>IF(SUM(Liab!J91:J95)-SUM(Liab!I91:I95)=0,"",SUM(Liab!J91:J95)-SUM(Liab!I91:I95))</f>
        <v/>
      </c>
      <c r="J8" s="343" t="str">
        <f>IF(SUM(Liab!K91:K95)-SUM(Liab!J91:J95)=0,"",SUM(Liab!K91:K95)-SUM(Liab!J91:J95))</f>
        <v/>
      </c>
      <c r="K8" s="343" t="str">
        <f>IF(SUM(Liab!L91:L95)-SUM(Liab!K91:K95)=0,"",SUM(Liab!L91:L95)-SUM(Liab!K91:K95))</f>
        <v/>
      </c>
      <c r="L8" s="343" t="str">
        <f>IF(SUM(Liab!M91:M95)-SUM(Liab!L91:L95)=0,"",SUM(Liab!M91:M95)-SUM(Liab!L91:L95))</f>
        <v/>
      </c>
      <c r="M8" s="343" t="str">
        <f>IF(SUM(Liab!N91:N95)-SUM(Liab!M91:M95)=0,"",SUM(Liab!N91:N95)-SUM(Liab!M91:M95))</f>
        <v/>
      </c>
      <c r="N8" s="343" t="str">
        <f>IF(SUM(Liab!O91:O95)-SUM(Liab!N91:N95)=0,"",SUM(Liab!O91:O95)-SUM(Liab!N91:N95))</f>
        <v/>
      </c>
      <c r="O8" s="343" t="str">
        <f>IF(SUM(Liab!P91:P95)-SUM(Liab!O91:O95)=0,"",SUM(Liab!P91:P95)-SUM(Liab!O91:O95))</f>
        <v/>
      </c>
      <c r="P8" s="343" t="str">
        <f>IF(SUM(Liab!Q91:Q95)-SUM(Liab!P91:P95)=0,"",SUM(Liab!Q91:Q95)-SUM(Liab!P91:P95))</f>
        <v/>
      </c>
      <c r="Q8" s="343" t="str">
        <f>IF(SUM(Liab!R91:R95)-SUM(Liab!Q91:Q95)=0,"",SUM(Liab!R91:R95)-SUM(Liab!Q91:Q95))</f>
        <v/>
      </c>
      <c r="R8" s="343" t="str">
        <f>IF(SUM(Liab!S91:S95)-SUM(Liab!R91:R95)=0,"",SUM(Liab!S91:S95)-SUM(Liab!R91:R95))</f>
        <v/>
      </c>
      <c r="S8" s="343" t="str">
        <f>IF(SUM(Liab!T91:T95)-SUM(Liab!S91:S95)=0,"",SUM(Liab!T91:T95)-SUM(Liab!S91:S95))</f>
        <v/>
      </c>
      <c r="T8" s="343" t="str">
        <f>IF(SUM(Liab!U91:U95)-SUM(Liab!T91:T95)=0,"",SUM(Liab!U91:U95)-SUM(Liab!T91:T95))</f>
        <v/>
      </c>
      <c r="U8" s="343" t="str">
        <f>IF(SUM(Liab!V91:V95)-SUM(Liab!U91:U95)=0,"",SUM(Liab!V91:V95)-SUM(Liab!U91:U95))</f>
        <v/>
      </c>
      <c r="V8" s="640"/>
    </row>
    <row r="9" spans="1:22" s="258" customFormat="1" x14ac:dyDescent="0.2">
      <c r="A9" s="283" t="s">
        <v>1028</v>
      </c>
      <c r="B9" s="280">
        <v>0</v>
      </c>
      <c r="C9" s="256" t="str">
        <f>IF(ISERROR(Asset!C89-Asset!D89),"",IF(Asset!C89-Asset!D89=0,"",Asset!C89-Asset!D89))</f>
        <v/>
      </c>
      <c r="D9" s="256" t="str">
        <f>IF(ISERROR(Asset!D89-Asset!E89),"",IF(Asset!D89-Asset!E89=0,"",Asset!D89-Asset!E89))</f>
        <v/>
      </c>
      <c r="E9" s="256">
        <f>IF(ISERROR(Asset!E89-Asset!F89),"",IF(Asset!E89-Asset!F89=0,"",Asset!E89-Asset!F89))</f>
        <v>-0.08</v>
      </c>
      <c r="F9" s="256" t="str">
        <f>IF(ISERROR(Asset!F89-Asset!G89),"",IF(Asset!F89-Asset!G89=0,"",Asset!F89-Asset!G89))</f>
        <v/>
      </c>
      <c r="G9" s="256">
        <f>IF(ISERROR(Asset!G89-Asset!H89),"",IF(Asset!G89-Asset!H89=0,"",Asset!G89-Asset!H89))</f>
        <v>2.0000000000000004E-2</v>
      </c>
      <c r="H9" s="256">
        <f>IF(ISERROR(Asset!H89-Asset!I89),"",IF(Asset!H89-Asset!I89=0,"",Asset!H89-Asset!I89))</f>
        <v>1.9999999999999997E-2</v>
      </c>
      <c r="I9" s="256">
        <f>IF(ISERROR(Asset!I89-Asset!J89),"",IF(Asset!I89-Asset!J89=0,"",Asset!I89-Asset!J89))</f>
        <v>0.02</v>
      </c>
      <c r="J9" s="256">
        <f>IF(ISERROR(Asset!J89-Asset!K89),"",IF(Asset!J89-Asset!K89=0,"",Asset!J89-Asset!K89))</f>
        <v>0.02</v>
      </c>
      <c r="K9" s="256" t="str">
        <f>IF(ISERROR(Asset!K89-Asset!L89),"",IF(Asset!K89-Asset!L89=0,"",Asset!K89-Asset!L89))</f>
        <v/>
      </c>
      <c r="L9" s="256" t="str">
        <f>IF(ISERROR(Asset!L89-Asset!M89),"",IF(Asset!L89-Asset!M89=0,"",Asset!L89-Asset!M89))</f>
        <v/>
      </c>
      <c r="M9" s="256" t="str">
        <f>IF(ISERROR(Asset!M89-Asset!N89),"",IF(Asset!M89-Asset!N89=0,"",Asset!M89-Asset!N89))</f>
        <v/>
      </c>
      <c r="N9" s="256" t="str">
        <f>IF(ISERROR(Asset!N89-Asset!O89),"",IF(Asset!N89-Asset!O89=0,"",Asset!N89-Asset!O89))</f>
        <v/>
      </c>
      <c r="O9" s="256" t="str">
        <f>IF(ISERROR(Asset!O89-Asset!P89),"",IF(Asset!O89-Asset!P89=0,"",Asset!O89-Asset!P89))</f>
        <v/>
      </c>
      <c r="P9" s="256" t="str">
        <f>IF(ISERROR(Asset!P89-Asset!Q89),"",IF(Asset!P89-Asset!Q89=0,"",Asset!P89-Asset!Q89))</f>
        <v/>
      </c>
      <c r="Q9" s="256" t="str">
        <f>IF(ISERROR(Asset!Q89-Asset!R89),"",IF(Asset!Q89-Asset!R89=0,"",Asset!Q89-Asset!R89))</f>
        <v/>
      </c>
      <c r="R9" s="256" t="str">
        <f>IF(ISERROR(Asset!R89-Asset!S89),"",IF(Asset!R89-Asset!S89=0,"",Asset!R89-Asset!S89))</f>
        <v/>
      </c>
      <c r="S9" s="256" t="str">
        <f>IF(ISERROR(Asset!S89-Asset!T89),"",IF(Asset!S89-Asset!T89=0,"",Asset!S89-Asset!T89))</f>
        <v/>
      </c>
      <c r="T9" s="256" t="str">
        <f>IF(ISERROR(Asset!T89-Asset!U89),"",IF(Asset!T89-Asset!U89=0,"",Asset!T89-Asset!U89))</f>
        <v/>
      </c>
      <c r="U9" s="256" t="str">
        <f>IF(ISERROR(Asset!U89-Asset!V89),"",IF(Asset!U89-Asset!V89=0,"",Asset!U89-Asset!V89))</f>
        <v/>
      </c>
      <c r="V9" s="612"/>
    </row>
    <row r="10" spans="1:22" x14ac:dyDescent="0.2">
      <c r="A10" s="282" t="s">
        <v>1027</v>
      </c>
      <c r="B10" s="256" t="str">
        <f>IF(ISERROR('Oper.St.'!C85),"",IF('Oper.St.'!C85=0,"",'Oper.St.'!C85))</f>
        <v/>
      </c>
      <c r="C10" s="256" t="str">
        <f>IF(ISERROR('Oper.St.'!D85),"",IF('Oper.St.'!D85=0,"",'Oper.St.'!D85))</f>
        <v/>
      </c>
      <c r="D10" s="256" t="str">
        <f>IF(ISERROR('Oper.St.'!E85),"",IF('Oper.St.'!E85=0,"",'Oper.St.'!E85))</f>
        <v/>
      </c>
      <c r="E10" s="256" t="str">
        <f>IF(ISERROR('Oper.St.'!F85),"",IF('Oper.St.'!F85=0,"",'Oper.St.'!F85))</f>
        <v/>
      </c>
      <c r="F10" s="256" t="str">
        <f>IF(ISERROR('Oper.St.'!G85),"",IF('Oper.St.'!G85=0,"",'Oper.St.'!G85))</f>
        <v/>
      </c>
      <c r="G10" s="256" t="str">
        <f>IF(ISERROR('Oper.St.'!H85),"",IF('Oper.St.'!H85=0,"",'Oper.St.'!H85))</f>
        <v/>
      </c>
      <c r="H10" s="256" t="str">
        <f>IF(ISERROR('Oper.St.'!I85),"",IF('Oper.St.'!I85=0,"",'Oper.St.'!I85))</f>
        <v/>
      </c>
      <c r="I10" s="256" t="str">
        <f>IF(ISERROR('Oper.St.'!J85),"",IF('Oper.St.'!J85=0,"",'Oper.St.'!J85))</f>
        <v/>
      </c>
      <c r="J10" s="256" t="str">
        <f>IF(ISERROR('Oper.St.'!K85),"",IF('Oper.St.'!K85=0,"",'Oper.St.'!K85))</f>
        <v/>
      </c>
      <c r="K10" s="256" t="str">
        <f>IF(ISERROR('Oper.St.'!L85),"",IF('Oper.St.'!L85=0,"",'Oper.St.'!L85))</f>
        <v/>
      </c>
      <c r="L10" s="256" t="str">
        <f>IF(ISERROR('Oper.St.'!M85),"",IF('Oper.St.'!M85=0,"",'Oper.St.'!M85))</f>
        <v/>
      </c>
      <c r="M10" s="256" t="str">
        <f>IF(ISERROR('Oper.St.'!N85),"",IF('Oper.St.'!N85=0,"",'Oper.St.'!N85))</f>
        <v/>
      </c>
      <c r="N10" s="256" t="str">
        <f>IF(ISERROR('Oper.St.'!O85),"",IF('Oper.St.'!O85=0,"",'Oper.St.'!O85))</f>
        <v/>
      </c>
      <c r="O10" s="256" t="str">
        <f>IF(ISERROR('Oper.St.'!P85),"",IF('Oper.St.'!P85=0,"",'Oper.St.'!P85))</f>
        <v/>
      </c>
      <c r="P10" s="256" t="str">
        <f>IF(ISERROR('Oper.St.'!Q85),"",IF('Oper.St.'!Q85=0,"",'Oper.St.'!Q85))</f>
        <v/>
      </c>
      <c r="Q10" s="256" t="str">
        <f>IF(ISERROR('Oper.St.'!R85),"",IF('Oper.St.'!R85=0,"",'Oper.St.'!R85))</f>
        <v/>
      </c>
      <c r="R10" s="256" t="str">
        <f>IF(ISERROR('Oper.St.'!S85),"",IF('Oper.St.'!S85=0,"",'Oper.St.'!S85))</f>
        <v/>
      </c>
      <c r="S10" s="256" t="str">
        <f>IF(ISERROR('Oper.St.'!T85),"",IF('Oper.St.'!T85=0,"",'Oper.St.'!T85))</f>
        <v/>
      </c>
      <c r="T10" s="256" t="str">
        <f>IF(ISERROR('Oper.St.'!U85),"",IF('Oper.St.'!U85=0,"",'Oper.St.'!U85))</f>
        <v/>
      </c>
      <c r="U10" s="256" t="str">
        <f>IF(ISERROR('Oper.St.'!V85),"",IF('Oper.St.'!V85=0,"",'Oper.St.'!V85))</f>
        <v/>
      </c>
      <c r="V10" s="637"/>
    </row>
    <row r="11" spans="1:22" x14ac:dyDescent="0.2">
      <c r="A11" s="282" t="s">
        <v>393</v>
      </c>
      <c r="B11" s="256" t="str">
        <f>IF(ISERROR('Oper.St.'!C100),"",IF('Oper.St.'!C100=0,"",'Oper.St.'!C100))</f>
        <v/>
      </c>
      <c r="C11" s="256" t="str">
        <f>IF(ISERROR('Oper.St.'!D100),"",IF('Oper.St.'!D100=0,"",'Oper.St.'!D100))</f>
        <v/>
      </c>
      <c r="D11" s="256" t="str">
        <f>IF(ISERROR('Oper.St.'!E100),"",IF('Oper.St.'!E100=0,"",'Oper.St.'!E100))</f>
        <v/>
      </c>
      <c r="E11" s="256" t="str">
        <f>IF(ISERROR('Oper.St.'!F100),"",IF('Oper.St.'!F100=0,"",'Oper.St.'!F100))</f>
        <v/>
      </c>
      <c r="F11" s="256" t="str">
        <f>IF(ISERROR('Oper.St.'!G100),"",IF('Oper.St.'!G100=0,"",'Oper.St.'!G100))</f>
        <v/>
      </c>
      <c r="G11" s="256" t="str">
        <f>IF(ISERROR('Oper.St.'!H100),"",IF('Oper.St.'!H100=0,"",'Oper.St.'!H100))</f>
        <v/>
      </c>
      <c r="H11" s="256" t="str">
        <f>IF(ISERROR('Oper.St.'!I100),"",IF('Oper.St.'!I100=0,"",'Oper.St.'!I100))</f>
        <v/>
      </c>
      <c r="I11" s="256" t="str">
        <f>IF(ISERROR('Oper.St.'!J100),"",IF('Oper.St.'!J100=0,"",'Oper.St.'!J100))</f>
        <v/>
      </c>
      <c r="J11" s="256" t="str">
        <f>IF(ISERROR('Oper.St.'!K100),"",IF('Oper.St.'!K100=0,"",'Oper.St.'!K100))</f>
        <v/>
      </c>
      <c r="K11" s="256" t="str">
        <f>IF(ISERROR('Oper.St.'!L100),"",IF('Oper.St.'!L100=0,"",'Oper.St.'!L100))</f>
        <v/>
      </c>
      <c r="L11" s="256" t="str">
        <f>IF(ISERROR('Oper.St.'!M100),"",IF('Oper.St.'!M100=0,"",'Oper.St.'!M100))</f>
        <v/>
      </c>
      <c r="M11" s="256" t="str">
        <f>IF(ISERROR('Oper.St.'!N100),"",IF('Oper.St.'!N100=0,"",'Oper.St.'!N100))</f>
        <v/>
      </c>
      <c r="N11" s="256" t="str">
        <f>IF(ISERROR('Oper.St.'!O100),"",IF('Oper.St.'!O100=0,"",'Oper.St.'!O100))</f>
        <v/>
      </c>
      <c r="O11" s="256" t="str">
        <f>IF(ISERROR('Oper.St.'!P100),"",IF('Oper.St.'!P100=0,"",'Oper.St.'!P100))</f>
        <v/>
      </c>
      <c r="P11" s="256" t="str">
        <f>IF(ISERROR('Oper.St.'!Q100),"",IF('Oper.St.'!Q100=0,"",'Oper.St.'!Q100))</f>
        <v/>
      </c>
      <c r="Q11" s="256" t="str">
        <f>IF(ISERROR('Oper.St.'!R100),"",IF('Oper.St.'!R100=0,"",'Oper.St.'!R100))</f>
        <v/>
      </c>
      <c r="R11" s="256" t="str">
        <f>IF(ISERROR('Oper.St.'!S100),"",IF('Oper.St.'!S100=0,"",'Oper.St.'!S100))</f>
        <v/>
      </c>
      <c r="S11" s="256" t="str">
        <f>IF(ISERROR('Oper.St.'!T100),"",IF('Oper.St.'!T100=0,"",'Oper.St.'!T100))</f>
        <v/>
      </c>
      <c r="T11" s="256" t="str">
        <f>IF(ISERROR('Oper.St.'!U100),"",IF('Oper.St.'!U100=0,"",'Oper.St.'!U100))</f>
        <v/>
      </c>
      <c r="U11" s="256" t="str">
        <f>IF(ISERROR('Oper.St.'!V100),"",IF('Oper.St.'!V100=0,"",'Oper.St.'!V100))</f>
        <v/>
      </c>
      <c r="V11" s="637"/>
    </row>
    <row r="12" spans="1:22" x14ac:dyDescent="0.2">
      <c r="A12" s="282" t="s">
        <v>656</v>
      </c>
      <c r="B12" s="280">
        <v>0</v>
      </c>
      <c r="C12" s="256" t="str">
        <f>IF(ISERROR(Asset!D85-Asset!C85),"",IF(Asset!D85-Asset!C85=0,"",Asset!D85-Asset!C85))</f>
        <v/>
      </c>
      <c r="D12" s="256" t="str">
        <f>IF(ISERROR(Asset!E85-Asset!D85),"",IF(Asset!E85-Asset!D85=0,"",Asset!E85-Asset!D85))</f>
        <v/>
      </c>
      <c r="E12" s="256" t="str">
        <f>IF(ISERROR(Asset!F85-Asset!E85),"",IF(Asset!F85-Asset!E85=0,"",Asset!F85-Asset!E85))</f>
        <v/>
      </c>
      <c r="F12" s="256" t="str">
        <f>IF(ISERROR(Asset!G85-Asset!F85),"",IF(Asset!G85-Asset!F85=0,"",Asset!G85-Asset!F85))</f>
        <v/>
      </c>
      <c r="G12" s="256" t="str">
        <f>IF(ISERROR(Asset!H85-Asset!G85),"",IF(Asset!H85-Asset!G85=0,"",Asset!H85-Asset!G85))</f>
        <v/>
      </c>
      <c r="H12" s="256" t="str">
        <f>IF(ISERROR(Asset!I85-Asset!H85),"",IF(Asset!I85-Asset!H85=0,"",Asset!I85-Asset!H85))</f>
        <v/>
      </c>
      <c r="I12" s="256" t="str">
        <f>IF(ISERROR(Asset!J85-Asset!I85),"",IF(Asset!J85-Asset!I85=0,"",Asset!J85-Asset!I85))</f>
        <v/>
      </c>
      <c r="J12" s="256" t="str">
        <f>IF(ISERROR(Asset!K85-Asset!J85),"",IF(Asset!K85-Asset!J85=0,"",Asset!K85-Asset!J85))</f>
        <v/>
      </c>
      <c r="K12" s="256" t="str">
        <f>IF(ISERROR(Asset!L85-Asset!K85),"",IF(Asset!L85-Asset!K85=0,"",Asset!L85-Asset!K85))</f>
        <v/>
      </c>
      <c r="L12" s="256" t="str">
        <f>IF(ISERROR(Asset!M85-Asset!L85),"",IF(Asset!M85-Asset!L85=0,"",Asset!M85-Asset!L85))</f>
        <v/>
      </c>
      <c r="M12" s="256" t="str">
        <f>IF(ISERROR(Asset!N85-Asset!M85),"",IF(Asset!N85-Asset!M85=0,"",Asset!N85-Asset!M85))</f>
        <v/>
      </c>
      <c r="N12" s="256" t="str">
        <f>IF(ISERROR(Asset!O85-Asset!N85),"",IF(Asset!O85-Asset!N85=0,"",Asset!O85-Asset!N85))</f>
        <v/>
      </c>
      <c r="O12" s="256" t="str">
        <f>IF(ISERROR(Asset!P85-Asset!O85),"",IF(Asset!P85-Asset!O85=0,"",Asset!P85-Asset!O85))</f>
        <v/>
      </c>
      <c r="P12" s="256" t="str">
        <f>IF(ISERROR(Asset!Q85-Asset!P85),"",IF(Asset!Q85-Asset!P85=0,"",Asset!Q85-Asset!P85))</f>
        <v/>
      </c>
      <c r="Q12" s="256" t="str">
        <f>IF(ISERROR(Asset!R85-Asset!Q85),"",IF(Asset!R85-Asset!Q85=0,"",Asset!R85-Asset!Q85))</f>
        <v/>
      </c>
      <c r="R12" s="256" t="str">
        <f>IF(ISERROR(Asset!S85-Asset!R85),"",IF(Asset!S85-Asset!R85=0,"",Asset!S85-Asset!R85))</f>
        <v/>
      </c>
      <c r="S12" s="256" t="str">
        <f>IF(ISERROR(Asset!T85-Asset!S85),"",IF(Asset!T85-Asset!S85=0,"",Asset!T85-Asset!S85))</f>
        <v/>
      </c>
      <c r="T12" s="256" t="str">
        <f>IF(ISERROR(Asset!U85-Asset!T85),"",IF(Asset!U85-Asset!T85=0,"",Asset!U85-Asset!T85))</f>
        <v/>
      </c>
      <c r="U12" s="256" t="str">
        <f>IF(ISERROR(Asset!V85-Asset!U85),"",IF(Asset!V85-Asset!U85=0,"",Asset!V85-Asset!U85))</f>
        <v/>
      </c>
      <c r="V12" s="637"/>
    </row>
    <row r="13" spans="1:22" s="278" customFormat="1" ht="15" x14ac:dyDescent="0.25">
      <c r="A13" s="279" t="s">
        <v>394</v>
      </c>
      <c r="B13" s="281">
        <f>SUM(B4:B9)-SUM(B10:B12)</f>
        <v>6.9999999999999979E-2</v>
      </c>
      <c r="C13" s="281">
        <f>SUM(C4:C9)-SUM(C10:C12)</f>
        <v>0.15999999999999998</v>
      </c>
      <c r="D13" s="281">
        <f t="shared" ref="D13:U13" si="1">SUM(D4:D9)-SUM(D10:D12)</f>
        <v>0.43000000000000016</v>
      </c>
      <c r="E13" s="281">
        <f t="shared" si="1"/>
        <v>8.5570000000000004</v>
      </c>
      <c r="F13" s="281">
        <f t="shared" si="1"/>
        <v>11.237</v>
      </c>
      <c r="G13" s="281">
        <f t="shared" si="1"/>
        <v>12.454507500000002</v>
      </c>
      <c r="H13" s="281">
        <f t="shared" si="1"/>
        <v>14.101916500000002</v>
      </c>
      <c r="I13" s="281">
        <f t="shared" si="1"/>
        <v>15.943643750000001</v>
      </c>
      <c r="J13" s="281">
        <f t="shared" si="1"/>
        <v>17.964723249999995</v>
      </c>
      <c r="K13" s="281">
        <f t="shared" si="1"/>
        <v>20.183128249999996</v>
      </c>
      <c r="L13" s="281">
        <f t="shared" si="1"/>
        <v>22.732396999999995</v>
      </c>
      <c r="M13" s="281">
        <f t="shared" si="1"/>
        <v>12.612396999999996</v>
      </c>
      <c r="N13" s="281">
        <f t="shared" si="1"/>
        <v>12.612396999999996</v>
      </c>
      <c r="O13" s="281">
        <f t="shared" si="1"/>
        <v>12.612396999999996</v>
      </c>
      <c r="P13" s="281">
        <f t="shared" si="1"/>
        <v>12.612396999999996</v>
      </c>
      <c r="Q13" s="281">
        <f t="shared" si="1"/>
        <v>12.612396999999996</v>
      </c>
      <c r="R13" s="281">
        <f t="shared" si="1"/>
        <v>12.612396999999996</v>
      </c>
      <c r="S13" s="281">
        <f t="shared" si="1"/>
        <v>12.612396999999996</v>
      </c>
      <c r="T13" s="281">
        <f t="shared" si="1"/>
        <v>12.612396999999996</v>
      </c>
      <c r="U13" s="281">
        <f t="shared" si="1"/>
        <v>12.612396999999996</v>
      </c>
      <c r="V13" s="639"/>
    </row>
    <row r="14" spans="1:22" x14ac:dyDescent="0.2">
      <c r="A14" s="282" t="s">
        <v>395</v>
      </c>
      <c r="B14" s="256" t="str">
        <f>IF(ISERROR(Asset!C70),"",IF(Asset!C70=0,"",Asset!C70))</f>
        <v/>
      </c>
      <c r="C14" s="256" t="str">
        <f>IF(ISERROR(Asset!D70),"",IF(Asset!D70=0,"",Asset!D70))</f>
        <v/>
      </c>
      <c r="D14" s="256" t="str">
        <f>IF(ISERROR(Asset!E70),"",IF(Asset!E70=0,"",Asset!E70))</f>
        <v/>
      </c>
      <c r="E14" s="256" t="str">
        <f>IF(ISERROR(Asset!F70),"",IF(Asset!F70=0,"",Asset!F70))</f>
        <v/>
      </c>
      <c r="F14" s="256" t="str">
        <f>IF(ISERROR(Asset!G70),"",IF(Asset!G70=0,"",Asset!G70))</f>
        <v/>
      </c>
      <c r="G14" s="256" t="str">
        <f>IF(ISERROR(Asset!H70),"",IF(Asset!H70=0,"",Asset!H70))</f>
        <v/>
      </c>
      <c r="H14" s="256" t="str">
        <f>IF(ISERROR(Asset!I70),"",IF(Asset!I70=0,"",Asset!I70))</f>
        <v/>
      </c>
      <c r="I14" s="256" t="str">
        <f>IF(ISERROR(Asset!J70),"",IF(Asset!J70=0,"",Asset!J70))</f>
        <v/>
      </c>
      <c r="J14" s="256" t="str">
        <f>IF(ISERROR(Asset!K70),"",IF(Asset!K70=0,"",Asset!K70))</f>
        <v/>
      </c>
      <c r="K14" s="256" t="str">
        <f>IF(ISERROR(Asset!L70),"",IF(Asset!L70=0,"",Asset!L70))</f>
        <v/>
      </c>
      <c r="L14" s="256" t="str">
        <f>IF(ISERROR(Asset!M70),"",IF(Asset!M70=0,"",Asset!M70))</f>
        <v/>
      </c>
      <c r="M14" s="256" t="str">
        <f>IF(ISERROR(Asset!N70),"",IF(Asset!N70=0,"",Asset!N70))</f>
        <v/>
      </c>
      <c r="N14" s="256" t="str">
        <f>IF(ISERROR(Asset!O70),"",IF(Asset!O70=0,"",Asset!O70))</f>
        <v/>
      </c>
      <c r="O14" s="256" t="str">
        <f>IF(ISERROR(Asset!P70),"",IF(Asset!P70=0,"",Asset!P70))</f>
        <v/>
      </c>
      <c r="P14" s="256" t="str">
        <f>IF(ISERROR(Asset!Q70),"",IF(Asset!Q70=0,"",Asset!Q70))</f>
        <v/>
      </c>
      <c r="Q14" s="256" t="str">
        <f>IF(ISERROR(Asset!R70),"",IF(Asset!R70=0,"",Asset!R70))</f>
        <v/>
      </c>
      <c r="R14" s="256" t="str">
        <f>IF(ISERROR(Asset!S70),"",IF(Asset!S70=0,"",Asset!S70))</f>
        <v/>
      </c>
      <c r="S14" s="256" t="str">
        <f>IF(ISERROR(Asset!T70),"",IF(Asset!T70=0,"",Asset!T70))</f>
        <v/>
      </c>
      <c r="T14" s="256" t="str">
        <f>IF(ISERROR(Asset!U70),"",IF(Asset!U70=0,"",Asset!U70))</f>
        <v/>
      </c>
      <c r="U14" s="256" t="str">
        <f>IF(ISERROR(Asset!V70),"",IF(Asset!V70=0,"",Asset!V70))</f>
        <v/>
      </c>
      <c r="V14" s="637"/>
    </row>
    <row r="15" spans="1:22" s="278" customFormat="1" ht="15" x14ac:dyDescent="0.25">
      <c r="A15" s="279" t="s">
        <v>19</v>
      </c>
      <c r="B15" s="281">
        <f>IF(ISERROR(B13-SUM(B14:B14)),"",B13-SUM(B14:B14))</f>
        <v>6.9999999999999979E-2</v>
      </c>
      <c r="C15" s="281">
        <f>IF(ISERROR(C13-SUM(C14:C14)),"",C13-SUM(C14:C14))</f>
        <v>0.15999999999999998</v>
      </c>
      <c r="D15" s="281">
        <f t="shared" ref="D15:U15" si="2">IF(ISERROR(D13-SUM(D14:D14)),"",D13-SUM(D14:D14))</f>
        <v>0.43000000000000016</v>
      </c>
      <c r="E15" s="281">
        <f t="shared" si="2"/>
        <v>8.5570000000000004</v>
      </c>
      <c r="F15" s="281">
        <f t="shared" si="2"/>
        <v>11.237</v>
      </c>
      <c r="G15" s="281">
        <f t="shared" si="2"/>
        <v>12.454507500000002</v>
      </c>
      <c r="H15" s="281">
        <f t="shared" si="2"/>
        <v>14.101916500000002</v>
      </c>
      <c r="I15" s="281">
        <f t="shared" si="2"/>
        <v>15.943643750000001</v>
      </c>
      <c r="J15" s="281">
        <f t="shared" si="2"/>
        <v>17.964723249999995</v>
      </c>
      <c r="K15" s="281">
        <f t="shared" si="2"/>
        <v>20.183128249999996</v>
      </c>
      <c r="L15" s="281">
        <f t="shared" si="2"/>
        <v>22.732396999999995</v>
      </c>
      <c r="M15" s="281">
        <f t="shared" si="2"/>
        <v>12.612396999999996</v>
      </c>
      <c r="N15" s="281">
        <f t="shared" si="2"/>
        <v>12.612396999999996</v>
      </c>
      <c r="O15" s="281">
        <f t="shared" si="2"/>
        <v>12.612396999999996</v>
      </c>
      <c r="P15" s="281">
        <f t="shared" si="2"/>
        <v>12.612396999999996</v>
      </c>
      <c r="Q15" s="281">
        <f t="shared" si="2"/>
        <v>12.612396999999996</v>
      </c>
      <c r="R15" s="281">
        <f t="shared" si="2"/>
        <v>12.612396999999996</v>
      </c>
      <c r="S15" s="281">
        <f t="shared" si="2"/>
        <v>12.612396999999996</v>
      </c>
      <c r="T15" s="281">
        <f t="shared" si="2"/>
        <v>12.612396999999996</v>
      </c>
      <c r="U15" s="281">
        <f t="shared" si="2"/>
        <v>12.612396999999996</v>
      </c>
      <c r="V15" s="639"/>
    </row>
    <row r="16" spans="1:22" s="278" customFormat="1" ht="17.25" customHeight="1" x14ac:dyDescent="0.25">
      <c r="A16" s="638" t="s">
        <v>468</v>
      </c>
      <c r="B16" s="633"/>
      <c r="C16" s="633"/>
      <c r="D16" s="633"/>
      <c r="E16" s="633"/>
      <c r="F16" s="633"/>
      <c r="G16" s="633"/>
      <c r="H16" s="633"/>
      <c r="I16" s="633"/>
      <c r="J16" s="633"/>
      <c r="K16" s="633"/>
      <c r="L16" s="633"/>
      <c r="M16" s="633"/>
      <c r="N16" s="633"/>
      <c r="O16" s="633"/>
      <c r="P16" s="633"/>
      <c r="Q16" s="633"/>
      <c r="R16" s="633"/>
      <c r="S16" s="633"/>
      <c r="T16" s="633"/>
      <c r="U16" s="633"/>
      <c r="V16" s="639"/>
    </row>
    <row r="17" spans="1:22" s="278" customFormat="1" ht="15" x14ac:dyDescent="0.25">
      <c r="A17" s="277"/>
      <c r="B17" s="261">
        <f>B2</f>
        <v>2020</v>
      </c>
      <c r="C17" s="261">
        <f t="shared" ref="C17:O17" si="3">C2</f>
        <v>2021</v>
      </c>
      <c r="D17" s="261">
        <f t="shared" si="3"/>
        <v>2022</v>
      </c>
      <c r="E17" s="261">
        <f t="shared" si="3"/>
        <v>2023</v>
      </c>
      <c r="F17" s="261">
        <f t="shared" si="3"/>
        <v>2024</v>
      </c>
      <c r="G17" s="261">
        <f t="shared" si="3"/>
        <v>2025</v>
      </c>
      <c r="H17" s="261">
        <f t="shared" si="3"/>
        <v>2026</v>
      </c>
      <c r="I17" s="261">
        <f t="shared" si="3"/>
        <v>2027</v>
      </c>
      <c r="J17" s="261">
        <f t="shared" si="3"/>
        <v>2028</v>
      </c>
      <c r="K17" s="261">
        <f t="shared" si="3"/>
        <v>2029</v>
      </c>
      <c r="L17" s="261">
        <f t="shared" si="3"/>
        <v>2030</v>
      </c>
      <c r="M17" s="261">
        <f t="shared" si="3"/>
        <v>2031</v>
      </c>
      <c r="N17" s="261">
        <f t="shared" si="3"/>
        <v>2032</v>
      </c>
      <c r="O17" s="261">
        <f t="shared" si="3"/>
        <v>2033</v>
      </c>
      <c r="P17" s="261">
        <f t="shared" ref="P17:U17" si="4">P2</f>
        <v>2034</v>
      </c>
      <c r="Q17" s="261">
        <f t="shared" si="4"/>
        <v>2035</v>
      </c>
      <c r="R17" s="261">
        <f t="shared" si="4"/>
        <v>2036</v>
      </c>
      <c r="S17" s="261">
        <f t="shared" si="4"/>
        <v>2037</v>
      </c>
      <c r="T17" s="261">
        <f t="shared" si="4"/>
        <v>2038</v>
      </c>
      <c r="U17" s="261">
        <f t="shared" si="4"/>
        <v>2039</v>
      </c>
      <c r="V17" s="639"/>
    </row>
    <row r="18" spans="1:22" ht="15" x14ac:dyDescent="0.25">
      <c r="A18" s="878" t="s">
        <v>223</v>
      </c>
      <c r="B18" s="261" t="str">
        <f>B3</f>
        <v>AUD.</v>
      </c>
      <c r="C18" s="261" t="str">
        <f t="shared" ref="C18:O18" si="5">C3</f>
        <v>AUD.</v>
      </c>
      <c r="D18" s="261" t="str">
        <f t="shared" si="5"/>
        <v>AUD.</v>
      </c>
      <c r="E18" s="261" t="str">
        <f t="shared" si="5"/>
        <v>EST.</v>
      </c>
      <c r="F18" s="261" t="str">
        <f t="shared" si="5"/>
        <v>PROJ.</v>
      </c>
      <c r="G18" s="261" t="str">
        <f t="shared" si="5"/>
        <v>PROJ.</v>
      </c>
      <c r="H18" s="261" t="str">
        <f t="shared" si="5"/>
        <v>PROJ.</v>
      </c>
      <c r="I18" s="261" t="str">
        <f t="shared" si="5"/>
        <v>PROJ.</v>
      </c>
      <c r="J18" s="261" t="str">
        <f t="shared" si="5"/>
        <v>PROJ.</v>
      </c>
      <c r="K18" s="261" t="str">
        <f t="shared" si="5"/>
        <v>PROJ.</v>
      </c>
      <c r="L18" s="261" t="str">
        <f t="shared" si="5"/>
        <v>PROJ.</v>
      </c>
      <c r="M18" s="261" t="str">
        <f t="shared" si="5"/>
        <v>PROJ.</v>
      </c>
      <c r="N18" s="261" t="str">
        <f t="shared" si="5"/>
        <v>PROJ.</v>
      </c>
      <c r="O18" s="261" t="str">
        <f t="shared" si="5"/>
        <v>PROJ.</v>
      </c>
      <c r="P18" s="261" t="str">
        <f t="shared" ref="P18:U18" si="6">P3</f>
        <v>PROJ.</v>
      </c>
      <c r="Q18" s="261" t="str">
        <f t="shared" si="6"/>
        <v>PROJ.</v>
      </c>
      <c r="R18" s="261" t="str">
        <f t="shared" si="6"/>
        <v>PROJ.</v>
      </c>
      <c r="S18" s="261" t="str">
        <f t="shared" si="6"/>
        <v>PROJ.</v>
      </c>
      <c r="T18" s="261" t="str">
        <f t="shared" si="6"/>
        <v>PROJ.</v>
      </c>
      <c r="U18" s="261" t="str">
        <f t="shared" si="6"/>
        <v>PROJ.</v>
      </c>
      <c r="V18" s="637"/>
    </row>
    <row r="19" spans="1:22" ht="15" x14ac:dyDescent="0.25">
      <c r="A19" s="285" t="s">
        <v>225</v>
      </c>
      <c r="B19" s="286"/>
      <c r="C19" s="286"/>
      <c r="D19" s="286"/>
      <c r="E19" s="286"/>
      <c r="F19" s="286"/>
      <c r="G19" s="286"/>
      <c r="H19" s="286"/>
      <c r="I19" s="286"/>
      <c r="J19" s="286"/>
      <c r="K19" s="286"/>
      <c r="L19" s="286"/>
      <c r="M19" s="286"/>
      <c r="N19" s="286"/>
      <c r="O19" s="286"/>
      <c r="P19" s="286"/>
      <c r="Q19" s="286"/>
      <c r="R19" s="286"/>
      <c r="S19" s="286"/>
      <c r="T19" s="286"/>
      <c r="U19" s="286"/>
      <c r="V19" s="637"/>
    </row>
    <row r="20" spans="1:22" x14ac:dyDescent="0.2">
      <c r="A20" s="287" t="s">
        <v>61</v>
      </c>
      <c r="B20" s="256" t="str">
        <f>IF(ISERROR(SUM(Liab!C15:C16)),"",IF(SUM(Liab!C15:C16)=0,"",SUM(Liab!C15:C16)))</f>
        <v/>
      </c>
      <c r="C20" s="256" t="str">
        <f>IF(ISERROR(SUM(Liab!D15:D16)),"",IF(SUM(Liab!D15:D16)=0,"",SUM(Liab!D15:D16)))</f>
        <v/>
      </c>
      <c r="D20" s="256" t="str">
        <f>IF(ISERROR(SUM(Liab!E15:E16)),"",IF(SUM(Liab!E15:E16)=0,"",SUM(Liab!E15:E16)))</f>
        <v/>
      </c>
      <c r="E20" s="256" t="str">
        <f>IF(ISERROR(SUM(Liab!F15:F16)),"",IF(SUM(Liab!F15:F16)=0,"",SUM(Liab!F15:F16)))</f>
        <v/>
      </c>
      <c r="F20" s="256">
        <f>IF(ISERROR(SUM(Liab!G15:G16)),"",IF(SUM(Liab!G15:G16)=0,"",SUM(Liab!G15:G16)))</f>
        <v>2</v>
      </c>
      <c r="G20" s="256">
        <f>IF(ISERROR(SUM(Liab!H15:H16)),"",IF(SUM(Liab!H15:H16)=0,"",SUM(Liab!H15:H16)))</f>
        <v>2</v>
      </c>
      <c r="H20" s="256">
        <f>IF(ISERROR(SUM(Liab!I15:I16)),"",IF(SUM(Liab!I15:I16)=0,"",SUM(Liab!I15:I16)))</f>
        <v>2</v>
      </c>
      <c r="I20" s="256">
        <f>IF(ISERROR(SUM(Liab!J15:J16)),"",IF(SUM(Liab!J15:J16)=0,"",SUM(Liab!J15:J16)))</f>
        <v>2</v>
      </c>
      <c r="J20" s="256">
        <f>IF(ISERROR(SUM(Liab!K15:K16)),"",IF(SUM(Liab!K15:K16)=0,"",SUM(Liab!K15:K16)))</f>
        <v>2</v>
      </c>
      <c r="K20" s="256">
        <f>IF(ISERROR(SUM(Liab!L15:L16)),"",IF(SUM(Liab!L15:L16)=0,"",SUM(Liab!L15:L16)))</f>
        <v>2</v>
      </c>
      <c r="L20" s="256">
        <f>IF(ISERROR(SUM(Liab!M15:M16)),"",IF(SUM(Liab!M15:M16)=0,"",SUM(Liab!M15:M16)))</f>
        <v>2</v>
      </c>
      <c r="M20" s="256" t="str">
        <f>IF(ISERROR(SUM(Liab!N15:N16)),"",IF(SUM(Liab!N15:N16)=0,"",SUM(Liab!N15:N16)))</f>
        <v/>
      </c>
      <c r="N20" s="256" t="str">
        <f>IF(ISERROR(SUM(Liab!O15:O16)),"",IF(SUM(Liab!O15:O16)=0,"",SUM(Liab!O15:O16)))</f>
        <v/>
      </c>
      <c r="O20" s="256" t="str">
        <f>IF(ISERROR(SUM(Liab!P15:P16)),"",IF(SUM(Liab!P15:P16)=0,"",SUM(Liab!P15:P16)))</f>
        <v/>
      </c>
      <c r="P20" s="256" t="str">
        <f>IF(ISERROR(SUM(Liab!Q15:Q16)),"",IF(SUM(Liab!Q15:Q16)=0,"",SUM(Liab!Q15:Q16)))</f>
        <v/>
      </c>
      <c r="Q20" s="256" t="str">
        <f>IF(ISERROR(SUM(Liab!R15:R16)),"",IF(SUM(Liab!R15:R16)=0,"",SUM(Liab!R15:R16)))</f>
        <v/>
      </c>
      <c r="R20" s="256" t="str">
        <f>IF(ISERROR(SUM(Liab!S15:S16)),"",IF(SUM(Liab!S15:S16)=0,"",SUM(Liab!S15:S16)))</f>
        <v/>
      </c>
      <c r="S20" s="256" t="str">
        <f>IF(ISERROR(SUM(Liab!T15:T16)),"",IF(SUM(Liab!T15:T16)=0,"",SUM(Liab!T15:T16)))</f>
        <v/>
      </c>
      <c r="T20" s="256" t="str">
        <f>IF(ISERROR(SUM(Liab!U15:U16)),"",IF(SUM(Liab!U15:U16)=0,"",SUM(Liab!U15:U16)))</f>
        <v/>
      </c>
      <c r="U20" s="256" t="str">
        <f>IF(ISERROR(SUM(Liab!V15:V16)),"",IF(SUM(Liab!V15:V16)=0,"",SUM(Liab!V15:V16)))</f>
        <v/>
      </c>
      <c r="V20" s="637"/>
    </row>
    <row r="21" spans="1:22" s="278" customFormat="1" ht="15" x14ac:dyDescent="0.25">
      <c r="A21" s="285" t="s">
        <v>382</v>
      </c>
      <c r="B21" s="281">
        <f>SUM(B22:B25)</f>
        <v>0.16</v>
      </c>
      <c r="C21" s="281">
        <f t="shared" ref="C21:U21" si="7">SUM(C22:C25)</f>
        <v>0.15</v>
      </c>
      <c r="D21" s="281">
        <f t="shared" si="7"/>
        <v>1.2500000000000002</v>
      </c>
      <c r="E21" s="281">
        <f t="shared" si="7"/>
        <v>1.6829999999999998</v>
      </c>
      <c r="F21" s="281">
        <f t="shared" si="7"/>
        <v>2.6400000000000006</v>
      </c>
      <c r="G21" s="281">
        <f t="shared" si="7"/>
        <v>3.5932175000000011</v>
      </c>
      <c r="H21" s="281">
        <f t="shared" si="7"/>
        <v>4.1474609999999998</v>
      </c>
      <c r="I21" s="281">
        <f t="shared" si="7"/>
        <v>4.0707402500000001</v>
      </c>
      <c r="J21" s="281">
        <f t="shared" si="7"/>
        <v>4.1476054999999983</v>
      </c>
      <c r="K21" s="281">
        <f t="shared" si="7"/>
        <v>4.5907450000000001</v>
      </c>
      <c r="L21" s="281">
        <f t="shared" si="7"/>
        <v>1.4925437499999994</v>
      </c>
      <c r="M21" s="281">
        <f t="shared" si="7"/>
        <v>0</v>
      </c>
      <c r="N21" s="281">
        <f t="shared" si="7"/>
        <v>0</v>
      </c>
      <c r="O21" s="281">
        <f t="shared" si="7"/>
        <v>0</v>
      </c>
      <c r="P21" s="281">
        <f t="shared" si="7"/>
        <v>0</v>
      </c>
      <c r="Q21" s="281">
        <f t="shared" si="7"/>
        <v>0</v>
      </c>
      <c r="R21" s="281">
        <f t="shared" si="7"/>
        <v>0</v>
      </c>
      <c r="S21" s="281">
        <f t="shared" si="7"/>
        <v>0</v>
      </c>
      <c r="T21" s="281">
        <f t="shared" si="7"/>
        <v>0</v>
      </c>
      <c r="U21" s="281">
        <f t="shared" si="7"/>
        <v>0</v>
      </c>
      <c r="V21" s="639"/>
    </row>
    <row r="22" spans="1:22" x14ac:dyDescent="0.2">
      <c r="A22" s="287" t="s">
        <v>62</v>
      </c>
      <c r="B22" s="256" t="str">
        <f>IF(Liab!C24=0, "", Liab!C24)</f>
        <v/>
      </c>
      <c r="C22" s="256">
        <f>IF(Liab!D24=0, "", Liab!D24)</f>
        <v>0.02</v>
      </c>
      <c r="D22" s="256">
        <f>IF(Liab!E24=0, "", Liab!E24)</f>
        <v>0.26</v>
      </c>
      <c r="E22" s="256">
        <f>IF(Liab!F24=0, "", Liab!F24)</f>
        <v>0.3</v>
      </c>
      <c r="F22" s="256">
        <f>IF(Liab!G24=0, "", Liab!G24)</f>
        <v>0.2</v>
      </c>
      <c r="G22" s="256">
        <f>IF(Liab!H24=0, "", Liab!H24)</f>
        <v>1.5</v>
      </c>
      <c r="H22" s="256">
        <f>IF(Liab!I24=0, "", Liab!I24)</f>
        <v>1.5</v>
      </c>
      <c r="I22" s="256">
        <f>IF(Liab!J24=0, "", Liab!J24)</f>
        <v>1</v>
      </c>
      <c r="J22" s="256">
        <f>IF(Liab!K24=0, "", Liab!K24)</f>
        <v>0.75</v>
      </c>
      <c r="K22" s="256">
        <f>IF(Liab!L24=0, "", Liab!L24)</f>
        <v>0.5</v>
      </c>
      <c r="L22" s="256">
        <f>IF(Liab!M24=0, "", Liab!M24)</f>
        <v>0.25</v>
      </c>
      <c r="M22" s="256" t="str">
        <f>IF(Liab!N24=0, "", Liab!N24)</f>
        <v/>
      </c>
      <c r="N22" s="256" t="str">
        <f>IF(Liab!O24=0, "", Liab!O24)</f>
        <v/>
      </c>
      <c r="O22" s="256" t="str">
        <f>IF(Liab!P24=0, "", Liab!P24)</f>
        <v/>
      </c>
      <c r="P22" s="256" t="str">
        <f>IF(Liab!Q24=0, "", Liab!Q24)</f>
        <v/>
      </c>
      <c r="Q22" s="256" t="str">
        <f>IF(Liab!R24=0, "", Liab!R24)</f>
        <v/>
      </c>
      <c r="R22" s="256" t="str">
        <f>IF(Liab!S24=0, "", Liab!S24)</f>
        <v/>
      </c>
      <c r="S22" s="256" t="str">
        <f>IF(Liab!T24=0, "", Liab!T24)</f>
        <v/>
      </c>
      <c r="T22" s="256" t="str">
        <f>IF(Liab!U24=0, "", Liab!U24)</f>
        <v/>
      </c>
      <c r="U22" s="256" t="str">
        <f>IF(Liab!V24=0, "", Liab!V24)</f>
        <v/>
      </c>
      <c r="V22" s="637"/>
    </row>
    <row r="23" spans="1:22" x14ac:dyDescent="0.2">
      <c r="A23" s="287" t="s">
        <v>63</v>
      </c>
      <c r="B23" s="256" t="str">
        <f>IF(Liab!C26=0, "", Liab!C26)</f>
        <v/>
      </c>
      <c r="C23" s="256" t="str">
        <f>IF(Liab!D26=0, "", Liab!D26)</f>
        <v/>
      </c>
      <c r="D23" s="256" t="str">
        <f>IF(Liab!E26=0, "", Liab!E26)</f>
        <v/>
      </c>
      <c r="E23" s="256" t="str">
        <f>IF(Liab!F26=0, "", Liab!F26)</f>
        <v/>
      </c>
      <c r="F23" s="256" t="str">
        <f>IF(Liab!G26=0, "", Liab!G26)</f>
        <v/>
      </c>
      <c r="G23" s="256" t="str">
        <f>IF(Liab!H26=0, "", Liab!H26)</f>
        <v/>
      </c>
      <c r="H23" s="256" t="str">
        <f>IF(Liab!I26=0, "", Liab!I26)</f>
        <v/>
      </c>
      <c r="I23" s="256" t="str">
        <f>IF(Liab!J26=0, "", Liab!J26)</f>
        <v/>
      </c>
      <c r="J23" s="256" t="str">
        <f>IF(Liab!K26=0, "", Liab!K26)</f>
        <v/>
      </c>
      <c r="K23" s="256" t="str">
        <f>IF(Liab!L26=0, "", Liab!L26)</f>
        <v/>
      </c>
      <c r="L23" s="256" t="str">
        <f>IF(Liab!M26=0, "", Liab!M26)</f>
        <v/>
      </c>
      <c r="M23" s="256" t="str">
        <f>IF(Liab!N26=0, "", Liab!N26)</f>
        <v/>
      </c>
      <c r="N23" s="256" t="str">
        <f>IF(Liab!O26=0, "", Liab!O26)</f>
        <v/>
      </c>
      <c r="O23" s="256" t="str">
        <f>IF(Liab!P26=0, "", Liab!P26)</f>
        <v/>
      </c>
      <c r="P23" s="256" t="str">
        <f>IF(Liab!Q26=0, "", Liab!Q26)</f>
        <v/>
      </c>
      <c r="Q23" s="256" t="str">
        <f>IF(Liab!R26=0, "", Liab!R26)</f>
        <v/>
      </c>
      <c r="R23" s="256" t="str">
        <f>IF(Liab!S26=0, "", Liab!S26)</f>
        <v/>
      </c>
      <c r="S23" s="256" t="str">
        <f>IF(Liab!T26=0, "", Liab!T26)</f>
        <v/>
      </c>
      <c r="T23" s="256" t="str">
        <f>IF(Liab!U26=0, "", Liab!U26)</f>
        <v/>
      </c>
      <c r="U23" s="256" t="str">
        <f>IF(Liab!V26=0, "", Liab!V26)</f>
        <v/>
      </c>
      <c r="V23" s="637"/>
    </row>
    <row r="24" spans="1:22" x14ac:dyDescent="0.2">
      <c r="A24" s="287" t="s">
        <v>387</v>
      </c>
      <c r="B24" s="256" t="str">
        <f>IF(Liab!C34=0, "", Liab!C34)</f>
        <v/>
      </c>
      <c r="C24" s="256" t="str">
        <f>IF(Liab!D34=0, "", Liab!D34)</f>
        <v/>
      </c>
      <c r="D24" s="256">
        <f>IF(Liab!E34=0, "", Liab!E34)</f>
        <v>0.88</v>
      </c>
      <c r="E24" s="256">
        <f>IF(Liab!F34=0, "", Liab!F34)</f>
        <v>1.17</v>
      </c>
      <c r="F24" s="256">
        <f>IF(Liab!G34=0, "", Liab!G34)</f>
        <v>2.08</v>
      </c>
      <c r="G24" s="256">
        <f>IF(Liab!H34=0, "", Liab!H34)</f>
        <v>1.4600000000000004</v>
      </c>
      <c r="H24" s="256">
        <f>IF(Liab!I34=0, "", Liab!I34)</f>
        <v>1.8199999999999996</v>
      </c>
      <c r="I24" s="256">
        <f>IF(Liab!J34=0, "", Liab!J34)</f>
        <v>2.1599999999999997</v>
      </c>
      <c r="J24" s="256">
        <f>IF(Liab!K34=0, "", Liab!K34)</f>
        <v>2.4</v>
      </c>
      <c r="K24" s="256">
        <f>IF(Liab!L34=0, "", Liab!L34)</f>
        <v>3</v>
      </c>
      <c r="L24" s="256" t="str">
        <f>IF(Liab!M34=0, "", Liab!M34)</f>
        <v/>
      </c>
      <c r="M24" s="256" t="str">
        <f>IF(Liab!N34=0, "", Liab!N34)</f>
        <v/>
      </c>
      <c r="N24" s="256" t="str">
        <f>IF(Liab!O34=0, "", Liab!O34)</f>
        <v/>
      </c>
      <c r="O24" s="256" t="str">
        <f>IF(Liab!P34=0, "", Liab!P34)</f>
        <v/>
      </c>
      <c r="P24" s="256" t="str">
        <f>IF(Liab!Q34=0, "", Liab!Q34)</f>
        <v/>
      </c>
      <c r="Q24" s="256" t="str">
        <f>IF(Liab!R34=0, "", Liab!R34)</f>
        <v/>
      </c>
      <c r="R24" s="256" t="str">
        <f>IF(Liab!S34=0, "", Liab!S34)</f>
        <v/>
      </c>
      <c r="S24" s="256" t="str">
        <f>IF(Liab!T34=0, "", Liab!T34)</f>
        <v/>
      </c>
      <c r="T24" s="256" t="str">
        <f>IF(Liab!U34=0, "", Liab!U34)</f>
        <v/>
      </c>
      <c r="U24" s="256" t="str">
        <f>IF(Liab!V34=0, "", Liab!V34)</f>
        <v/>
      </c>
      <c r="V24" s="637"/>
    </row>
    <row r="25" spans="1:22" ht="14.25" customHeight="1" x14ac:dyDescent="0.2">
      <c r="A25" s="287" t="s">
        <v>853</v>
      </c>
      <c r="B25" s="256">
        <f>IF(Liab!C22+Liab!C28+Liab!C30+Liab!C32+SUM(Liab!C36:C43)=0,"",Liab!C22+Liab!C28+Liab!C30+Liab!C32+SUM(Liab!C36:C43))</f>
        <v>0.16</v>
      </c>
      <c r="C25" s="256">
        <f>IF(Liab!D22+Liab!D28+Liab!D30+Liab!D32+SUM(Liab!D36:D43)=0,"",Liab!D22+Liab!D28+Liab!D30+Liab!D32+SUM(Liab!D36:D43))</f>
        <v>0.13</v>
      </c>
      <c r="D25" s="256">
        <f>IF(Liab!E22+Liab!E28+Liab!E30+Liab!E32+SUM(Liab!E36:E43)=0,"",Liab!E22+Liab!E28+Liab!E30+Liab!E32+SUM(Liab!E36:E43))</f>
        <v>0.11</v>
      </c>
      <c r="E25" s="256">
        <f>IF(Liab!F22+Liab!F28+Liab!F30+Liab!F32+SUM(Liab!F36:F43)=0,"",Liab!F22+Liab!F28+Liab!F30+Liab!F32+SUM(Liab!F36:F43))</f>
        <v>0.21299999999999994</v>
      </c>
      <c r="F25" s="256">
        <f>IF(Liab!G22+Liab!G28+Liab!G30+Liab!G32+SUM(Liab!G36:G43)=0,"",Liab!G22+Liab!G28+Liab!G30+Liab!G32+SUM(Liab!G36:G43))</f>
        <v>0.3600000000000001</v>
      </c>
      <c r="G25" s="256">
        <f>IF(Liab!H22+Liab!H28+Liab!H30+Liab!H32+SUM(Liab!H36:H43)=0,"",Liab!H22+Liab!H28+Liab!H30+Liab!H32+SUM(Liab!H36:H43))</f>
        <v>0.63321750000000065</v>
      </c>
      <c r="H25" s="256">
        <f>IF(Liab!I22+Liab!I28+Liab!I30+Liab!I32+SUM(Liab!I36:I43)=0,"",Liab!I22+Liab!I28+Liab!I30+Liab!I32+SUM(Liab!I36:I43))</f>
        <v>0.82746100000000045</v>
      </c>
      <c r="I25" s="256">
        <f>IF(Liab!J22+Liab!J28+Liab!J30+Liab!J32+SUM(Liab!J36:J43)=0,"",Liab!J22+Liab!J28+Liab!J30+Liab!J32+SUM(Liab!J36:J43))</f>
        <v>0.91074024999999992</v>
      </c>
      <c r="J25" s="256">
        <f>IF(Liab!K22+Liab!K28+Liab!K30+Liab!K32+SUM(Liab!K36:K43)=0,"",Liab!K22+Liab!K28+Liab!K30+Liab!K32+SUM(Liab!K36:K43))</f>
        <v>0.99760549999999826</v>
      </c>
      <c r="K25" s="256">
        <f>IF(Liab!L22+Liab!L28+Liab!L30+Liab!L32+SUM(Liab!L36:L43)=0,"",Liab!L22+Liab!L28+Liab!L30+Liab!L32+SUM(Liab!L36:L43))</f>
        <v>1.0907450000000003</v>
      </c>
      <c r="L25" s="256">
        <f>IF(Liab!M22+Liab!M28+Liab!M30+Liab!M32+SUM(Liab!M36:M43)=0,"",Liab!M22+Liab!M28+Liab!M30+Liab!M32+SUM(Liab!M36:M43))</f>
        <v>1.2425437499999994</v>
      </c>
      <c r="M25" s="256" t="str">
        <f>IF(Liab!N22+Liab!N28+Liab!N30+Liab!N32+SUM(Liab!N36:N43)=0,"",Liab!N22+Liab!N28+Liab!N30+Liab!N32+SUM(Liab!N36:N43))</f>
        <v/>
      </c>
      <c r="N25" s="256" t="str">
        <f>IF(Liab!O22+Liab!O28+Liab!O30+Liab!O32+SUM(Liab!O36:O43)=0,"",Liab!O22+Liab!O28+Liab!O30+Liab!O32+SUM(Liab!O36:O43))</f>
        <v/>
      </c>
      <c r="O25" s="256" t="str">
        <f>IF(Liab!P22+Liab!P28+Liab!P30+Liab!P32+SUM(Liab!P36:P43)=0,"",Liab!P22+Liab!P28+Liab!P30+Liab!P32+SUM(Liab!P36:P43))</f>
        <v/>
      </c>
      <c r="P25" s="256" t="str">
        <f>IF(Liab!Q22+Liab!Q28+Liab!Q30+Liab!Q32+SUM(Liab!Q36:Q43)=0,"",Liab!Q22+Liab!Q28+Liab!Q30+Liab!Q32+SUM(Liab!Q36:Q43))</f>
        <v/>
      </c>
      <c r="Q25" s="256" t="str">
        <f>IF(Liab!R22+Liab!R28+Liab!R30+Liab!R32+SUM(Liab!R36:R43)=0,"",Liab!R22+Liab!R28+Liab!R30+Liab!R32+SUM(Liab!R36:R43))</f>
        <v/>
      </c>
      <c r="R25" s="256" t="str">
        <f>IF(Liab!S22+Liab!S28+Liab!S30+Liab!S32+SUM(Liab!S36:S43)=0,"",Liab!S22+Liab!S28+Liab!S30+Liab!S32+SUM(Liab!S36:S43))</f>
        <v/>
      </c>
      <c r="S25" s="256" t="str">
        <f>IF(Liab!T22+Liab!T28+Liab!T30+Liab!T32+SUM(Liab!T36:T43)=0,"",Liab!T22+Liab!T28+Liab!T30+Liab!T32+SUM(Liab!T36:T43))</f>
        <v/>
      </c>
      <c r="T25" s="256" t="str">
        <f>IF(Liab!U22+Liab!U28+Liab!U30+Liab!U32+SUM(Liab!U36:U43)=0,"",Liab!U22+Liab!U28+Liab!U30+Liab!U32+SUM(Liab!U36:U43))</f>
        <v/>
      </c>
      <c r="U25" s="256" t="str">
        <f>IF(Liab!V22+Liab!V28+Liab!V30+Liab!V32+SUM(Liab!V36:V43)=0,"",Liab!V22+Liab!V28+Liab!V30+Liab!V32+SUM(Liab!V36:V43))</f>
        <v/>
      </c>
      <c r="V25" s="637"/>
    </row>
    <row r="26" spans="1:22" s="278" customFormat="1" ht="15" x14ac:dyDescent="0.25">
      <c r="A26" s="285" t="s">
        <v>862</v>
      </c>
      <c r="B26" s="281">
        <f>SUM(B20:B21)</f>
        <v>0.16</v>
      </c>
      <c r="C26" s="281">
        <f t="shared" ref="C26:U26" si="8">SUM(C20:C21)</f>
        <v>0.15</v>
      </c>
      <c r="D26" s="281">
        <f t="shared" si="8"/>
        <v>1.2500000000000002</v>
      </c>
      <c r="E26" s="281">
        <f t="shared" si="8"/>
        <v>1.6829999999999998</v>
      </c>
      <c r="F26" s="281">
        <f t="shared" si="8"/>
        <v>4.6400000000000006</v>
      </c>
      <c r="G26" s="281">
        <f t="shared" si="8"/>
        <v>5.5932175000000015</v>
      </c>
      <c r="H26" s="281">
        <f t="shared" si="8"/>
        <v>6.1474609999999998</v>
      </c>
      <c r="I26" s="281">
        <f t="shared" si="8"/>
        <v>6.0707402500000001</v>
      </c>
      <c r="J26" s="281">
        <f t="shared" si="8"/>
        <v>6.1476054999999983</v>
      </c>
      <c r="K26" s="281">
        <f t="shared" si="8"/>
        <v>6.5907450000000001</v>
      </c>
      <c r="L26" s="281">
        <f t="shared" si="8"/>
        <v>3.4925437499999994</v>
      </c>
      <c r="M26" s="281">
        <f t="shared" si="8"/>
        <v>0</v>
      </c>
      <c r="N26" s="281">
        <f t="shared" si="8"/>
        <v>0</v>
      </c>
      <c r="O26" s="281">
        <f t="shared" si="8"/>
        <v>0</v>
      </c>
      <c r="P26" s="281">
        <f t="shared" si="8"/>
        <v>0</v>
      </c>
      <c r="Q26" s="281">
        <f t="shared" si="8"/>
        <v>0</v>
      </c>
      <c r="R26" s="281">
        <f t="shared" si="8"/>
        <v>0</v>
      </c>
      <c r="S26" s="281">
        <f t="shared" si="8"/>
        <v>0</v>
      </c>
      <c r="T26" s="281">
        <f t="shared" si="8"/>
        <v>0</v>
      </c>
      <c r="U26" s="281">
        <f t="shared" si="8"/>
        <v>0</v>
      </c>
      <c r="V26" s="639"/>
    </row>
    <row r="27" spans="1:22" x14ac:dyDescent="0.2">
      <c r="A27" s="287" t="s">
        <v>64</v>
      </c>
      <c r="B27" s="256" t="str">
        <f>IF(Liab!C65=0, "", Liab!C65)</f>
        <v/>
      </c>
      <c r="C27" s="256" t="str">
        <f>IF(Liab!D65=0, "", Liab!D65)</f>
        <v/>
      </c>
      <c r="D27" s="256" t="str">
        <f>IF(Liab!E65=0, "", Liab!E65)</f>
        <v/>
      </c>
      <c r="E27" s="256">
        <f>IF(Liab!F65=0, "", Liab!F65)</f>
        <v>4</v>
      </c>
      <c r="F27" s="256">
        <f>IF(Liab!G65=0, "", Liab!G65)</f>
        <v>10.8</v>
      </c>
      <c r="G27" s="256">
        <f>IF(Liab!H65=0, "", Liab!H65)</f>
        <v>9.360000000000003</v>
      </c>
      <c r="H27" s="256">
        <f>IF(Liab!I65=0, "", Liab!I65)</f>
        <v>7.5600000000000138</v>
      </c>
      <c r="I27" s="256">
        <f>IF(Liab!J65=0, "", Liab!J65)</f>
        <v>5.4000000000000092</v>
      </c>
      <c r="J27" s="256">
        <f>IF(Liab!K65=0, "", Liab!K65)</f>
        <v>3.0000000000000129</v>
      </c>
      <c r="K27" s="256">
        <f>IF(Liab!L65=0, "", Liab!L65)</f>
        <v>1.0658141036401503E-14</v>
      </c>
      <c r="L27" s="256" t="str">
        <f>IF(Liab!M65=0, "", Liab!M65)</f>
        <v/>
      </c>
      <c r="M27" s="256" t="str">
        <f>IF(Liab!N65=0, "", Liab!N65)</f>
        <v/>
      </c>
      <c r="N27" s="256" t="str">
        <f>IF(Liab!O65=0, "", Liab!O65)</f>
        <v/>
      </c>
      <c r="O27" s="256" t="str">
        <f>IF(Liab!P65=0, "", Liab!P65)</f>
        <v/>
      </c>
      <c r="P27" s="256" t="str">
        <f>IF(Liab!Q65=0, "", Liab!Q65)</f>
        <v/>
      </c>
      <c r="Q27" s="256" t="str">
        <f>IF(Liab!R65=0, "", Liab!R65)</f>
        <v/>
      </c>
      <c r="R27" s="256" t="str">
        <f>IF(Liab!S65=0, "", Liab!S65)</f>
        <v/>
      </c>
      <c r="S27" s="256" t="str">
        <f>IF(Liab!T65=0, "", Liab!T65)</f>
        <v/>
      </c>
      <c r="T27" s="256" t="str">
        <f>IF(Liab!U65=0, "", Liab!U65)</f>
        <v/>
      </c>
      <c r="U27" s="256" t="str">
        <f>IF(Liab!V65=0, "", Liab!V65)</f>
        <v/>
      </c>
      <c r="V27" s="637"/>
    </row>
    <row r="28" spans="1:22" x14ac:dyDescent="0.2">
      <c r="A28" s="287" t="s">
        <v>65</v>
      </c>
      <c r="B28" s="256" t="str">
        <f>IF(Liab!C67=0, "", Liab!C67)</f>
        <v/>
      </c>
      <c r="C28" s="256" t="str">
        <f>IF(Liab!D67=0, "", Liab!D67)</f>
        <v/>
      </c>
      <c r="D28" s="256">
        <f>IF(Liab!E67=0, "", Liab!E67)</f>
        <v>2</v>
      </c>
      <c r="E28" s="256">
        <f>IF(Liab!F67=0, "", Liab!F67)</f>
        <v>0.92</v>
      </c>
      <c r="F28" s="256">
        <f>IF(Liab!G67=0, "", Liab!G67)</f>
        <v>0.04</v>
      </c>
      <c r="G28" s="256">
        <f>IF(Liab!H67=0, "", Liab!H67)</f>
        <v>0.02</v>
      </c>
      <c r="H28" s="256" t="str">
        <f>IF(Liab!I67=0, "", Liab!I67)</f>
        <v/>
      </c>
      <c r="I28" s="256" t="str">
        <f>IF(Liab!J67=0, "", Liab!J67)</f>
        <v/>
      </c>
      <c r="J28" s="256" t="str">
        <f>IF(Liab!K67=0, "", Liab!K67)</f>
        <v/>
      </c>
      <c r="K28" s="256" t="str">
        <f>IF(Liab!L67=0, "", Liab!L67)</f>
        <v/>
      </c>
      <c r="L28" s="256" t="str">
        <f>IF(Liab!M67=0, "", Liab!M67)</f>
        <v/>
      </c>
      <c r="M28" s="256" t="str">
        <f>IF(Liab!N67=0, "", Liab!N67)</f>
        <v/>
      </c>
      <c r="N28" s="256" t="str">
        <f>IF(Liab!O67=0, "", Liab!O67)</f>
        <v/>
      </c>
      <c r="O28" s="256" t="str">
        <f>IF(Liab!P67=0, "", Liab!P67)</f>
        <v/>
      </c>
      <c r="P28" s="256" t="str">
        <f>IF(Liab!Q67=0, "", Liab!Q67)</f>
        <v/>
      </c>
      <c r="Q28" s="256" t="str">
        <f>IF(Liab!R67=0, "", Liab!R67)</f>
        <v/>
      </c>
      <c r="R28" s="256" t="str">
        <f>IF(Liab!S67=0, "", Liab!S67)</f>
        <v/>
      </c>
      <c r="S28" s="256" t="str">
        <f>IF(Liab!T67=0, "", Liab!T67)</f>
        <v/>
      </c>
      <c r="T28" s="256" t="str">
        <f>IF(Liab!U67=0, "", Liab!U67)</f>
        <v/>
      </c>
      <c r="U28" s="256" t="str">
        <f>IF(Liab!V67=0, "", Liab!V67)</f>
        <v/>
      </c>
      <c r="V28" s="637"/>
    </row>
    <row r="29" spans="1:22" ht="14.25" customHeight="1" x14ac:dyDescent="0.2">
      <c r="A29" s="287" t="s">
        <v>946</v>
      </c>
      <c r="B29" s="256" t="str">
        <f>IF(ISERROR(Liab!C61+Liab!C63),"",IF(Liab!C61+Liab!C63=0,"",Liab!C61+Liab!C63))</f>
        <v/>
      </c>
      <c r="C29" s="256" t="str">
        <f>IF(ISERROR(Liab!D61+Liab!D63),"",IF(Liab!D61+Liab!D63=0,"",Liab!D61+Liab!D63))</f>
        <v/>
      </c>
      <c r="D29" s="256" t="str">
        <f>IF(ISERROR(Liab!E61+Liab!E63),"",IF(Liab!E61+Liab!E63=0,"",Liab!E61+Liab!E63))</f>
        <v/>
      </c>
      <c r="E29" s="256" t="str">
        <f>IF(ISERROR(Liab!F61+Liab!F63),"",IF(Liab!F61+Liab!F63=0,"",Liab!F61+Liab!F63))</f>
        <v/>
      </c>
      <c r="F29" s="256" t="str">
        <f>IF(ISERROR(Liab!G61+Liab!G63),"",IF(Liab!G61+Liab!G63=0,"",Liab!G61+Liab!G63))</f>
        <v/>
      </c>
      <c r="G29" s="256" t="str">
        <f>IF(ISERROR(Liab!H61+Liab!H63),"",IF(Liab!H61+Liab!H63=0,"",Liab!H61+Liab!H63))</f>
        <v/>
      </c>
      <c r="H29" s="256" t="str">
        <f>IF(ISERROR(Liab!I61+Liab!I63),"",IF(Liab!I61+Liab!I63=0,"",Liab!I61+Liab!I63))</f>
        <v/>
      </c>
      <c r="I29" s="256" t="str">
        <f>IF(ISERROR(Liab!J61+Liab!J63),"",IF(Liab!J61+Liab!J63=0,"",Liab!J61+Liab!J63))</f>
        <v/>
      </c>
      <c r="J29" s="256" t="str">
        <f>IF(ISERROR(Liab!K61+Liab!K63),"",IF(Liab!K61+Liab!K63=0,"",Liab!K61+Liab!K63))</f>
        <v/>
      </c>
      <c r="K29" s="256" t="str">
        <f>IF(ISERROR(Liab!L61+Liab!L63),"",IF(Liab!L61+Liab!L63=0,"",Liab!L61+Liab!L63))</f>
        <v/>
      </c>
      <c r="L29" s="256" t="str">
        <f>IF(ISERROR(Liab!M61+Liab!M63),"",IF(Liab!M61+Liab!M63=0,"",Liab!M61+Liab!M63))</f>
        <v/>
      </c>
      <c r="M29" s="256" t="str">
        <f>IF(ISERROR(Liab!N61+Liab!N63),"",IF(Liab!N61+Liab!N63=0,"",Liab!N61+Liab!N63))</f>
        <v/>
      </c>
      <c r="N29" s="256" t="str">
        <f>IF(ISERROR(Liab!O61+Liab!O63),"",IF(Liab!O61+Liab!O63=0,"",Liab!O61+Liab!O63))</f>
        <v/>
      </c>
      <c r="O29" s="256" t="str">
        <f>IF(ISERROR(Liab!P61+Liab!P63),"",IF(Liab!P61+Liab!P63=0,"",Liab!P61+Liab!P63))</f>
        <v/>
      </c>
      <c r="P29" s="256" t="str">
        <f>IF(ISERROR(Liab!Q61+Liab!Q63),"",IF(Liab!Q61+Liab!Q63=0,"",Liab!Q61+Liab!Q63))</f>
        <v/>
      </c>
      <c r="Q29" s="256" t="str">
        <f>IF(ISERROR(Liab!R61+Liab!R63),"",IF(Liab!R61+Liab!R63=0,"",Liab!R61+Liab!R63))</f>
        <v/>
      </c>
      <c r="R29" s="256" t="str">
        <f>IF(ISERROR(Liab!S61+Liab!S63),"",IF(Liab!S61+Liab!S63=0,"",Liab!S61+Liab!S63))</f>
        <v/>
      </c>
      <c r="S29" s="256" t="str">
        <f>IF(ISERROR(Liab!T61+Liab!T63),"",IF(Liab!T61+Liab!T63=0,"",Liab!T61+Liab!T63))</f>
        <v/>
      </c>
      <c r="T29" s="256" t="str">
        <f>IF(ISERROR(Liab!U61+Liab!U63),"",IF(Liab!U61+Liab!U63=0,"",Liab!U61+Liab!U63))</f>
        <v/>
      </c>
      <c r="U29" s="256" t="str">
        <f>IF(ISERROR(Liab!V61+Liab!V63),"",IF(Liab!V61+Liab!V63=0,"",Liab!V61+Liab!V63))</f>
        <v/>
      </c>
      <c r="V29" s="637"/>
    </row>
    <row r="30" spans="1:22" x14ac:dyDescent="0.2">
      <c r="A30" s="287" t="s">
        <v>66</v>
      </c>
      <c r="B30" s="256">
        <f>IF(ISERROR(Liab!C76),"",IF(Liab!C76=0,"",Liab!C76))</f>
        <v>0.04</v>
      </c>
      <c r="C30" s="256">
        <f>IF(ISERROR(Liab!D76),"",IF(Liab!D76=0,"",Liab!D76))</f>
        <v>0.12</v>
      </c>
      <c r="D30" s="256">
        <f>IF(ISERROR(Liab!E76),"",IF(Liab!E76=0,"",Liab!E76))</f>
        <v>1.1599999999999999</v>
      </c>
      <c r="E30" s="256" t="str">
        <f>IF(ISERROR(Liab!F76),"",IF(Liab!F76=0,"",Liab!F76))</f>
        <v/>
      </c>
      <c r="F30" s="256" t="str">
        <f>IF(ISERROR(Liab!G76),"",IF(Liab!G76=0,"",Liab!G76))</f>
        <v/>
      </c>
      <c r="G30" s="256" t="str">
        <f>IF(ISERROR(Liab!H76),"",IF(Liab!H76=0,"",Liab!H76))</f>
        <v/>
      </c>
      <c r="H30" s="256" t="str">
        <f>IF(ISERROR(Liab!I76),"",IF(Liab!I76=0,"",Liab!I76))</f>
        <v/>
      </c>
      <c r="I30" s="256" t="str">
        <f>IF(ISERROR(Liab!J76),"",IF(Liab!J76=0,"",Liab!J76))</f>
        <v/>
      </c>
      <c r="J30" s="256" t="str">
        <f>IF(ISERROR(Liab!K76),"",IF(Liab!K76=0,"",Liab!K76))</f>
        <v/>
      </c>
      <c r="K30" s="256" t="str">
        <f>IF(ISERROR(Liab!L76),"",IF(Liab!L76=0,"",Liab!L76))</f>
        <v/>
      </c>
      <c r="L30" s="256" t="str">
        <f>IF(ISERROR(Liab!M76),"",IF(Liab!M76=0,"",Liab!M76))</f>
        <v/>
      </c>
      <c r="M30" s="256" t="str">
        <f>IF(ISERROR(Liab!N76),"",IF(Liab!N76=0,"",Liab!N76))</f>
        <v/>
      </c>
      <c r="N30" s="256" t="str">
        <f>IF(ISERROR(Liab!O76),"",IF(Liab!O76=0,"",Liab!O76))</f>
        <v/>
      </c>
      <c r="O30" s="256" t="str">
        <f>IF(ISERROR(Liab!P76),"",IF(Liab!P76=0,"",Liab!P76))</f>
        <v/>
      </c>
      <c r="P30" s="256" t="str">
        <f>IF(ISERROR(Liab!Q76),"",IF(Liab!Q76=0,"",Liab!Q76))</f>
        <v/>
      </c>
      <c r="Q30" s="256" t="str">
        <f>IF(ISERROR(Liab!R76),"",IF(Liab!R76=0,"",Liab!R76))</f>
        <v/>
      </c>
      <c r="R30" s="256" t="str">
        <f>IF(ISERROR(Liab!S76),"",IF(Liab!S76=0,"",Liab!S76))</f>
        <v/>
      </c>
      <c r="S30" s="256" t="str">
        <f>IF(ISERROR(Liab!T76),"",IF(Liab!T76=0,"",Liab!T76))</f>
        <v/>
      </c>
      <c r="T30" s="256" t="str">
        <f>IF(ISERROR(Liab!U76),"",IF(Liab!U76=0,"",Liab!U76))</f>
        <v/>
      </c>
      <c r="U30" s="256" t="str">
        <f>IF(ISERROR(Liab!V76),"",IF(Liab!V76=0,"",Liab!V76))</f>
        <v/>
      </c>
      <c r="V30" s="637"/>
    </row>
    <row r="31" spans="1:22" x14ac:dyDescent="0.2">
      <c r="A31" s="287" t="s">
        <v>67</v>
      </c>
      <c r="B31" s="256" t="str">
        <f>IF(ISERROR(Liab!C74+SUM(Liab!C69:C72)),"",IF(Liab!C74+SUM(Liab!C69:C72)=0,"",Liab!C74+SUM(Liab!C69:C72)))</f>
        <v/>
      </c>
      <c r="C31" s="256" t="str">
        <f>IF(ISERROR(Liab!D74+SUM(Liab!D69:D72)),"",IF(Liab!D74+SUM(Liab!D69:D72)=0,"",Liab!D74+SUM(Liab!D69:D72)))</f>
        <v/>
      </c>
      <c r="D31" s="256" t="str">
        <f>IF(ISERROR(Liab!E74+SUM(Liab!E69:E72)),"",IF(Liab!E74+SUM(Liab!E69:E72)=0,"",Liab!E74+SUM(Liab!E69:E72)))</f>
        <v/>
      </c>
      <c r="E31" s="256" t="str">
        <f>IF(ISERROR(Liab!F74+SUM(Liab!F69:F72)),"",IF(Liab!F74+SUM(Liab!F69:F72)=0,"",Liab!F74+SUM(Liab!F69:F72)))</f>
        <v/>
      </c>
      <c r="F31" s="256" t="str">
        <f>IF(ISERROR(Liab!G74+SUM(Liab!G69:G72)),"",IF(Liab!G74+SUM(Liab!G69:G72)=0,"",Liab!G74+SUM(Liab!G69:G72)))</f>
        <v/>
      </c>
      <c r="G31" s="256" t="str">
        <f>IF(ISERROR(Liab!H74+SUM(Liab!H69:H72)),"",IF(Liab!H74+SUM(Liab!H69:H72)=0,"",Liab!H74+SUM(Liab!H69:H72)))</f>
        <v/>
      </c>
      <c r="H31" s="256" t="str">
        <f>IF(ISERROR(Liab!I74+SUM(Liab!I69:I72)),"",IF(Liab!I74+SUM(Liab!I69:I72)=0,"",Liab!I74+SUM(Liab!I69:I72)))</f>
        <v/>
      </c>
      <c r="I31" s="256" t="str">
        <f>IF(ISERROR(Liab!J74+SUM(Liab!J69:J72)),"",IF(Liab!J74+SUM(Liab!J69:J72)=0,"",Liab!J74+SUM(Liab!J69:J72)))</f>
        <v/>
      </c>
      <c r="J31" s="256" t="str">
        <f>IF(ISERROR(Liab!K74+SUM(Liab!K69:K72)),"",IF(Liab!K74+SUM(Liab!K69:K72)=0,"",Liab!K74+SUM(Liab!K69:K72)))</f>
        <v/>
      </c>
      <c r="K31" s="256" t="str">
        <f>IF(ISERROR(Liab!L74+SUM(Liab!L69:L72)),"",IF(Liab!L74+SUM(Liab!L69:L72)=0,"",Liab!L74+SUM(Liab!L69:L72)))</f>
        <v/>
      </c>
      <c r="L31" s="256" t="str">
        <f>IF(ISERROR(Liab!M74+SUM(Liab!M69:M72)),"",IF(Liab!M74+SUM(Liab!M69:M72)=0,"",Liab!M74+SUM(Liab!M69:M72)))</f>
        <v/>
      </c>
      <c r="M31" s="256" t="str">
        <f>IF(ISERROR(Liab!N74+SUM(Liab!N69:N72)),"",IF(Liab!N74+SUM(Liab!N69:N72)=0,"",Liab!N74+SUM(Liab!N69:N72)))</f>
        <v/>
      </c>
      <c r="N31" s="256" t="str">
        <f>IF(ISERROR(Liab!O74+SUM(Liab!O69:O72)),"",IF(Liab!O74+SUM(Liab!O69:O72)=0,"",Liab!O74+SUM(Liab!O69:O72)))</f>
        <v/>
      </c>
      <c r="O31" s="256" t="str">
        <f>IF(ISERROR(Liab!P74+SUM(Liab!P69:P72)),"",IF(Liab!P74+SUM(Liab!P69:P72)=0,"",Liab!P74+SUM(Liab!P69:P72)))</f>
        <v/>
      </c>
      <c r="P31" s="256" t="str">
        <f>IF(ISERROR(Liab!Q74+SUM(Liab!Q69:Q72)),"",IF(Liab!Q74+SUM(Liab!Q69:Q72)=0,"",Liab!Q74+SUM(Liab!Q69:Q72)))</f>
        <v/>
      </c>
      <c r="Q31" s="256" t="str">
        <f>IF(ISERROR(Liab!R74+SUM(Liab!R69:R72)),"",IF(Liab!R74+SUM(Liab!R69:R72)=0,"",Liab!R74+SUM(Liab!R69:R72)))</f>
        <v/>
      </c>
      <c r="R31" s="256" t="str">
        <f>IF(ISERROR(Liab!S74+SUM(Liab!S69:S72)),"",IF(Liab!S74+SUM(Liab!S69:S72)=0,"",Liab!S74+SUM(Liab!S69:S72)))</f>
        <v/>
      </c>
      <c r="S31" s="256" t="str">
        <f>IF(ISERROR(Liab!T74+SUM(Liab!T69:T72)),"",IF(Liab!T74+SUM(Liab!T69:T72)=0,"",Liab!T74+SUM(Liab!T69:T72)))</f>
        <v/>
      </c>
      <c r="T31" s="256" t="str">
        <f>IF(ISERROR(Liab!U74+SUM(Liab!U69:U72)),"",IF(Liab!U74+SUM(Liab!U69:U72)=0,"",Liab!U74+SUM(Liab!U69:U72)))</f>
        <v/>
      </c>
      <c r="U31" s="256" t="str">
        <f>IF(ISERROR(Liab!V74+SUM(Liab!V69:V72)),"",IF(Liab!V74+SUM(Liab!V69:V72)=0,"",Liab!V74+SUM(Liab!V69:V72)))</f>
        <v/>
      </c>
      <c r="V31" s="637"/>
    </row>
    <row r="32" spans="1:22" x14ac:dyDescent="0.2">
      <c r="A32" s="287" t="s">
        <v>667</v>
      </c>
      <c r="B32" s="256" t="str">
        <f>IF(ISERROR(Liab!C77),"",IF(Liab!C77=0,"",Liab!C77))</f>
        <v/>
      </c>
      <c r="C32" s="256" t="str">
        <f>IF(ISERROR(Liab!D77),"",IF(Liab!D77=0,"",Liab!D77))</f>
        <v/>
      </c>
      <c r="D32" s="256" t="str">
        <f>IF(ISERROR(Liab!E77),"",IF(Liab!E77=0,"",Liab!E77))</f>
        <v/>
      </c>
      <c r="E32" s="256" t="str">
        <f>IF(ISERROR(Liab!F77),"",IF(Liab!F77=0,"",Liab!F77))</f>
        <v/>
      </c>
      <c r="F32" s="256" t="str">
        <f>IF(ISERROR(Liab!G77),"",IF(Liab!G77=0,"",Liab!G77))</f>
        <v/>
      </c>
      <c r="G32" s="256" t="str">
        <f>IF(ISERROR(Liab!H77),"",IF(Liab!H77=0,"",Liab!H77))</f>
        <v/>
      </c>
      <c r="H32" s="256" t="str">
        <f>IF(ISERROR(Liab!I77),"",IF(Liab!I77=0,"",Liab!I77))</f>
        <v/>
      </c>
      <c r="I32" s="256" t="str">
        <f>IF(ISERROR(Liab!J77),"",IF(Liab!J77=0,"",Liab!J77))</f>
        <v/>
      </c>
      <c r="J32" s="256" t="str">
        <f>IF(ISERROR(Liab!K77),"",IF(Liab!K77=0,"",Liab!K77))</f>
        <v/>
      </c>
      <c r="K32" s="256" t="str">
        <f>IF(ISERROR(Liab!L77),"",IF(Liab!L77=0,"",Liab!L77))</f>
        <v/>
      </c>
      <c r="L32" s="256" t="str">
        <f>IF(ISERROR(Liab!M77),"",IF(Liab!M77=0,"",Liab!M77))</f>
        <v/>
      </c>
      <c r="M32" s="256" t="str">
        <f>IF(ISERROR(Liab!N77),"",IF(Liab!N77=0,"",Liab!N77))</f>
        <v/>
      </c>
      <c r="N32" s="256" t="str">
        <f>IF(ISERROR(Liab!O77),"",IF(Liab!O77=0,"",Liab!O77))</f>
        <v/>
      </c>
      <c r="O32" s="256" t="str">
        <f>IF(ISERROR(Liab!P77),"",IF(Liab!P77=0,"",Liab!P77))</f>
        <v/>
      </c>
      <c r="P32" s="256" t="str">
        <f>IF(ISERROR(Liab!Q77),"",IF(Liab!Q77=0,"",Liab!Q77))</f>
        <v/>
      </c>
      <c r="Q32" s="256" t="str">
        <f>IF(ISERROR(Liab!R77),"",IF(Liab!R77=0,"",Liab!R77))</f>
        <v/>
      </c>
      <c r="R32" s="256" t="str">
        <f>IF(ISERROR(Liab!S77),"",IF(Liab!S77=0,"",Liab!S77))</f>
        <v/>
      </c>
      <c r="S32" s="256" t="str">
        <f>IF(ISERROR(Liab!T77),"",IF(Liab!T77=0,"",Liab!T77))</f>
        <v/>
      </c>
      <c r="T32" s="256" t="str">
        <f>IF(ISERROR(Liab!U77),"",IF(Liab!U77=0,"",Liab!U77))</f>
        <v/>
      </c>
      <c r="U32" s="256" t="str">
        <f>IF(ISERROR(Liab!V77),"",IF(Liab!V77=0,"",Liab!V77))</f>
        <v/>
      </c>
      <c r="V32" s="637"/>
    </row>
    <row r="33" spans="1:22" s="278" customFormat="1" ht="15" x14ac:dyDescent="0.25">
      <c r="A33" s="285" t="s">
        <v>789</v>
      </c>
      <c r="B33" s="281">
        <f>SUM(B27:B32)</f>
        <v>0.04</v>
      </c>
      <c r="C33" s="281">
        <f t="shared" ref="C33:U33" si="9">SUM(C27:C32)</f>
        <v>0.12</v>
      </c>
      <c r="D33" s="281">
        <f t="shared" si="9"/>
        <v>3.16</v>
      </c>
      <c r="E33" s="281">
        <f t="shared" si="9"/>
        <v>4.92</v>
      </c>
      <c r="F33" s="281">
        <f t="shared" si="9"/>
        <v>10.84</v>
      </c>
      <c r="G33" s="281">
        <f t="shared" si="9"/>
        <v>9.3800000000000026</v>
      </c>
      <c r="H33" s="281">
        <f t="shared" si="9"/>
        <v>7.5600000000000138</v>
      </c>
      <c r="I33" s="281">
        <f t="shared" si="9"/>
        <v>5.4000000000000092</v>
      </c>
      <c r="J33" s="281">
        <f t="shared" si="9"/>
        <v>3.0000000000000129</v>
      </c>
      <c r="K33" s="281">
        <f t="shared" si="9"/>
        <v>1.0658141036401503E-14</v>
      </c>
      <c r="L33" s="281">
        <f t="shared" si="9"/>
        <v>0</v>
      </c>
      <c r="M33" s="281">
        <f t="shared" si="9"/>
        <v>0</v>
      </c>
      <c r="N33" s="281">
        <f t="shared" si="9"/>
        <v>0</v>
      </c>
      <c r="O33" s="281">
        <f t="shared" si="9"/>
        <v>0</v>
      </c>
      <c r="P33" s="281">
        <f t="shared" si="9"/>
        <v>0</v>
      </c>
      <c r="Q33" s="281">
        <f t="shared" si="9"/>
        <v>0</v>
      </c>
      <c r="R33" s="281">
        <f t="shared" si="9"/>
        <v>0</v>
      </c>
      <c r="S33" s="281">
        <f t="shared" si="9"/>
        <v>0</v>
      </c>
      <c r="T33" s="281">
        <f t="shared" si="9"/>
        <v>0</v>
      </c>
      <c r="U33" s="281">
        <f t="shared" si="9"/>
        <v>0</v>
      </c>
      <c r="V33" s="639"/>
    </row>
    <row r="34" spans="1:22" s="278" customFormat="1" ht="15" x14ac:dyDescent="0.25">
      <c r="A34" s="285" t="s">
        <v>383</v>
      </c>
      <c r="B34" s="281">
        <f>IF(ISERROR((B26+B33)),"",IF((B26+B33)=0,"",(B26+B33)))</f>
        <v>0.2</v>
      </c>
      <c r="C34" s="281">
        <f t="shared" ref="C34:U34" si="10">IF(ISERROR((C26+C33)),"",IF((C26+C33)=0,"",(C26+C33)))</f>
        <v>0.27</v>
      </c>
      <c r="D34" s="281">
        <f t="shared" si="10"/>
        <v>4.41</v>
      </c>
      <c r="E34" s="281">
        <f t="shared" si="10"/>
        <v>6.6029999999999998</v>
      </c>
      <c r="F34" s="281">
        <f t="shared" si="10"/>
        <v>15.48</v>
      </c>
      <c r="G34" s="281">
        <f t="shared" si="10"/>
        <v>14.973217500000004</v>
      </c>
      <c r="H34" s="281">
        <f t="shared" si="10"/>
        <v>13.707461000000013</v>
      </c>
      <c r="I34" s="281">
        <f t="shared" si="10"/>
        <v>11.470740250000009</v>
      </c>
      <c r="J34" s="281">
        <f t="shared" si="10"/>
        <v>9.1476055000000116</v>
      </c>
      <c r="K34" s="281">
        <f t="shared" si="10"/>
        <v>6.5907450000000107</v>
      </c>
      <c r="L34" s="281">
        <f t="shared" si="10"/>
        <v>3.4925437499999994</v>
      </c>
      <c r="M34" s="281" t="str">
        <f t="shared" si="10"/>
        <v/>
      </c>
      <c r="N34" s="281" t="str">
        <f t="shared" si="10"/>
        <v/>
      </c>
      <c r="O34" s="281" t="str">
        <f t="shared" si="10"/>
        <v/>
      </c>
      <c r="P34" s="281" t="str">
        <f t="shared" si="10"/>
        <v/>
      </c>
      <c r="Q34" s="281" t="str">
        <f t="shared" si="10"/>
        <v/>
      </c>
      <c r="R34" s="281" t="str">
        <f t="shared" si="10"/>
        <v/>
      </c>
      <c r="S34" s="281" t="str">
        <f t="shared" si="10"/>
        <v/>
      </c>
      <c r="T34" s="281" t="str">
        <f t="shared" si="10"/>
        <v/>
      </c>
      <c r="U34" s="281" t="str">
        <f t="shared" si="10"/>
        <v/>
      </c>
      <c r="V34" s="639"/>
    </row>
    <row r="35" spans="1:22" x14ac:dyDescent="0.2">
      <c r="A35" s="287" t="s">
        <v>668</v>
      </c>
      <c r="B35" s="256">
        <f>IF(ISERROR(Liab!C84),"",IF(Liab!C84=0,"",Liab!C84))</f>
        <v>0.01</v>
      </c>
      <c r="C35" s="256">
        <f>IF(ISERROR(Liab!D84),"",IF(Liab!D84=0,"",Liab!D84))</f>
        <v>0.01</v>
      </c>
      <c r="D35" s="256">
        <f>IF(ISERROR(Liab!E84),"",IF(Liab!E84=0,"",Liab!E84))</f>
        <v>0.01</v>
      </c>
      <c r="E35" s="256">
        <f>IF(ISERROR(Liab!F84),"",IF(Liab!F84=0,"",Liab!F84))</f>
        <v>8</v>
      </c>
      <c r="F35" s="256">
        <f>IF(ISERROR(Liab!G84),"",IF(Liab!G84=0,"",Liab!G84))</f>
        <v>10.119999999999999</v>
      </c>
      <c r="G35" s="256">
        <f>IF(ISERROR(Liab!H84),"",IF(Liab!H84=0,"",Liab!H84))</f>
        <v>10.119999999999999</v>
      </c>
      <c r="H35" s="256">
        <f>IF(ISERROR(Liab!I84),"",IF(Liab!I84=0,"",Liab!I84))</f>
        <v>10.119999999999999</v>
      </c>
      <c r="I35" s="256">
        <f>IF(ISERROR(Liab!J84),"",IF(Liab!J84=0,"",Liab!J84))</f>
        <v>10.119999999999999</v>
      </c>
      <c r="J35" s="256">
        <f>IF(ISERROR(Liab!K84),"",IF(Liab!K84=0,"",Liab!K84))</f>
        <v>10.119999999999999</v>
      </c>
      <c r="K35" s="256">
        <f>IF(ISERROR(Liab!L84),"",IF(Liab!L84=0,"",Liab!L84))</f>
        <v>10.119999999999999</v>
      </c>
      <c r="L35" s="256">
        <f>IF(ISERROR(Liab!M84),"",IF(Liab!M84=0,"",Liab!M84))</f>
        <v>10.119999999999999</v>
      </c>
      <c r="M35" s="256" t="str">
        <f>IF(ISERROR(Liab!N84),"",IF(Liab!N84=0,"",Liab!N84))</f>
        <v/>
      </c>
      <c r="N35" s="256" t="str">
        <f>IF(ISERROR(Liab!O84),"",IF(Liab!O84=0,"",Liab!O84))</f>
        <v/>
      </c>
      <c r="O35" s="256" t="str">
        <f>IF(ISERROR(Liab!P84),"",IF(Liab!P84=0,"",Liab!P84))</f>
        <v/>
      </c>
      <c r="P35" s="256" t="str">
        <f>IF(ISERROR(Liab!Q84),"",IF(Liab!Q84=0,"",Liab!Q84))</f>
        <v/>
      </c>
      <c r="Q35" s="256" t="str">
        <f>IF(ISERROR(Liab!R84),"",IF(Liab!R84=0,"",Liab!R84))</f>
        <v/>
      </c>
      <c r="R35" s="256" t="str">
        <f>IF(ISERROR(Liab!S84),"",IF(Liab!S84=0,"",Liab!S84))</f>
        <v/>
      </c>
      <c r="S35" s="256" t="str">
        <f>IF(ISERROR(Liab!T84),"",IF(Liab!T84=0,"",Liab!T84))</f>
        <v/>
      </c>
      <c r="T35" s="256" t="str">
        <f>IF(ISERROR(Liab!U84),"",IF(Liab!U84=0,"",Liab!U84))</f>
        <v/>
      </c>
      <c r="U35" s="256" t="str">
        <f>IF(ISERROR(Liab!V84),"",IF(Liab!V84=0,"",Liab!V84))</f>
        <v/>
      </c>
      <c r="V35" s="637"/>
    </row>
    <row r="36" spans="1:22" ht="13.5" customHeight="1" x14ac:dyDescent="0.2">
      <c r="A36" s="287" t="s">
        <v>854</v>
      </c>
      <c r="B36" s="256">
        <f>IF(ISERROR(Liab!C86+SUM(Liab!C91:C95)+Liab!C96),"",IF(Liab!C86+SUM(Liab!C91:C95)+Liab!C96=0,"",Liab!C86+SUM(Liab!C91:C95)+Liab!C96))</f>
        <v>6.9999999999999979E-2</v>
      </c>
      <c r="C36" s="256">
        <f>IF(ISERROR(Liab!D86+SUM(Liab!D91:D95)+Liab!D96),"",IF(Liab!D86+SUM(Liab!D91:D95)+Liab!D96=0,"",Liab!D86+SUM(Liab!D91:D95)+Liab!D96))</f>
        <v>0.15999999999999998</v>
      </c>
      <c r="D36" s="256">
        <f>IF(ISERROR(Liab!E86+SUM(Liab!E91:E95)+Liab!E96),"",IF(Liab!E86+SUM(Liab!E91:E95)+Liab!E96=0,"",Liab!E86+SUM(Liab!E91:E95)+Liab!E96))</f>
        <v>0.43000000000000016</v>
      </c>
      <c r="E36" s="256">
        <f>IF(ISERROR(Liab!F86+SUM(Liab!F91:F95)+Liab!F96),"",IF(Liab!F86+SUM(Liab!F91:F95)+Liab!F96=0,"",Liab!F86+SUM(Liab!F91:F95)+Liab!F96))</f>
        <v>0.64700000000000002</v>
      </c>
      <c r="F36" s="256">
        <f>IF(ISERROR(Liab!G86+SUM(Liab!G91:G95)+Liab!G96),"",IF(Liab!G86+SUM(Liab!G91:G95)+Liab!G96=0,"",Liab!G86+SUM(Liab!G91:G95)+Liab!G96))</f>
        <v>1.2070000000000003</v>
      </c>
      <c r="G36" s="256">
        <f>IF(ISERROR(Liab!H86+SUM(Liab!H91:H95)+Liab!H96),"",IF(Liab!H86+SUM(Liab!H91:H95)+Liab!H96=0,"",Liab!H86+SUM(Liab!H91:H95)+Liab!H96))</f>
        <v>2.404507500000002</v>
      </c>
      <c r="H36" s="256">
        <f>IF(ISERROR(Liab!I86+SUM(Liab!I91:I95)+Liab!I96),"",IF(Liab!I86+SUM(Liab!I91:I95)+Liab!I96=0,"",Liab!I86+SUM(Liab!I91:I95)+Liab!I96))</f>
        <v>4.031916500000003</v>
      </c>
      <c r="I36" s="256">
        <f>IF(ISERROR(Liab!J86+SUM(Liab!J91:J95)+Liab!J96),"",IF(Liab!J86+SUM(Liab!J91:J95)+Liab!J96=0,"",Liab!J86+SUM(Liab!J91:J95)+Liab!J96))</f>
        <v>5.8536437500000034</v>
      </c>
      <c r="J36" s="256">
        <f>IF(ISERROR(Liab!K86+SUM(Liab!K91:K95)+Liab!K96),"",IF(Liab!K86+SUM(Liab!K91:K95)+Liab!K96=0,"",Liab!K86+SUM(Liab!K91:K95)+Liab!K96))</f>
        <v>7.8547232499999993</v>
      </c>
      <c r="K36" s="256">
        <f>IF(ISERROR(Liab!L86+SUM(Liab!L91:L95)+Liab!L96),"",IF(Liab!L86+SUM(Liab!L91:L95)+Liab!L96=0,"",Liab!L86+SUM(Liab!L91:L95)+Liab!L96))</f>
        <v>10.07312825</v>
      </c>
      <c r="L36" s="256">
        <f>IF(ISERROR(Liab!M86+SUM(Liab!M91:M95)+Liab!M96),"",IF(Liab!M86+SUM(Liab!M91:M95)+Liab!M96=0,"",Liab!M86+SUM(Liab!M91:M95)+Liab!M96))</f>
        <v>12.622396999999999</v>
      </c>
      <c r="M36" s="256">
        <f>IF(ISERROR(Liab!N86+SUM(Liab!N91:N95)+Liab!N96),"",IF(Liab!N86+SUM(Liab!N91:N95)+Liab!N96=0,"",Liab!N86+SUM(Liab!N91:N95)+Liab!N96))</f>
        <v>12.622396999999999</v>
      </c>
      <c r="N36" s="256">
        <f>IF(ISERROR(Liab!O86+SUM(Liab!O91:O95)+Liab!O96),"",IF(Liab!O86+SUM(Liab!O91:O95)+Liab!O96=0,"",Liab!O86+SUM(Liab!O91:O95)+Liab!O96))</f>
        <v>12.622396999999999</v>
      </c>
      <c r="O36" s="256">
        <f>IF(ISERROR(Liab!P86+SUM(Liab!P91:P95)+Liab!P96),"",IF(Liab!P86+SUM(Liab!P91:P95)+Liab!P96=0,"",Liab!P86+SUM(Liab!P91:P95)+Liab!P96))</f>
        <v>12.622396999999999</v>
      </c>
      <c r="P36" s="256">
        <f>IF(ISERROR(Liab!Q86+SUM(Liab!Q91:Q95)+Liab!Q96),"",IF(Liab!Q86+SUM(Liab!Q91:Q95)+Liab!Q96=0,"",Liab!Q86+SUM(Liab!Q91:Q95)+Liab!Q96))</f>
        <v>12.622396999999999</v>
      </c>
      <c r="Q36" s="256">
        <f>IF(ISERROR(Liab!R86+SUM(Liab!R91:R95)+Liab!R96),"",IF(Liab!R86+SUM(Liab!R91:R95)+Liab!R96=0,"",Liab!R86+SUM(Liab!R91:R95)+Liab!R96))</f>
        <v>12.622396999999999</v>
      </c>
      <c r="R36" s="256">
        <f>IF(ISERROR(Liab!S86+SUM(Liab!S91:S95)+Liab!S96),"",IF(Liab!S86+SUM(Liab!S91:S95)+Liab!S96=0,"",Liab!S86+SUM(Liab!S91:S95)+Liab!S96))</f>
        <v>12.622396999999999</v>
      </c>
      <c r="S36" s="256">
        <f>IF(ISERROR(Liab!T86+SUM(Liab!T91:T95)+Liab!T96),"",IF(Liab!T86+SUM(Liab!T91:T95)+Liab!T96=0,"",Liab!T86+SUM(Liab!T91:T95)+Liab!T96))</f>
        <v>12.622396999999999</v>
      </c>
      <c r="T36" s="256">
        <f>IF(ISERROR(Liab!U86+SUM(Liab!U91:U95)+Liab!U96),"",IF(Liab!U86+SUM(Liab!U91:U95)+Liab!U96=0,"",Liab!U86+SUM(Liab!U91:U95)+Liab!U96))</f>
        <v>12.622396999999999</v>
      </c>
      <c r="U36" s="256">
        <f>IF(ISERROR(Liab!V86+SUM(Liab!V91:V95)+Liab!V96),"",IF(Liab!V86+SUM(Liab!V91:V95)+Liab!V96=0,"",Liab!V86+SUM(Liab!V91:V95)+Liab!V96))</f>
        <v>12.622396999999999</v>
      </c>
      <c r="V36" s="637"/>
    </row>
    <row r="37" spans="1:22" x14ac:dyDescent="0.2">
      <c r="A37" s="287" t="s">
        <v>669</v>
      </c>
      <c r="B37" s="256" t="str">
        <f>IF(ISERROR(Liab!C97),"",IF(Liab!C97=0,"",Liab!C97))</f>
        <v/>
      </c>
      <c r="C37" s="256" t="str">
        <f>IF(ISERROR(Liab!D97),"",IF(Liab!D97=0,"",Liab!D97))</f>
        <v/>
      </c>
      <c r="D37" s="256" t="str">
        <f>IF(ISERROR(Liab!E97),"",IF(Liab!E97=0,"",Liab!E97))</f>
        <v/>
      </c>
      <c r="E37" s="256" t="str">
        <f>IF(ISERROR(Liab!F97),"",IF(Liab!F97=0,"",Liab!F97))</f>
        <v/>
      </c>
      <c r="F37" s="256" t="str">
        <f>IF(ISERROR(Liab!G97),"",IF(Liab!G97=0,"",Liab!G97))</f>
        <v/>
      </c>
      <c r="G37" s="256" t="str">
        <f>IF(ISERROR(Liab!H97),"",IF(Liab!H97=0,"",Liab!H97))</f>
        <v/>
      </c>
      <c r="H37" s="256" t="str">
        <f>IF(ISERROR(Liab!I97),"",IF(Liab!I97=0,"",Liab!I97))</f>
        <v/>
      </c>
      <c r="I37" s="256" t="str">
        <f>IF(ISERROR(Liab!J97),"",IF(Liab!J97=0,"",Liab!J97))</f>
        <v/>
      </c>
      <c r="J37" s="256" t="str">
        <f>IF(ISERROR(Liab!K97),"",IF(Liab!K97=0,"",Liab!K97))</f>
        <v/>
      </c>
      <c r="K37" s="256" t="str">
        <f>IF(ISERROR(Liab!L97),"",IF(Liab!L97=0,"",Liab!L97))</f>
        <v/>
      </c>
      <c r="L37" s="256" t="str">
        <f>IF(ISERROR(Liab!M97),"",IF(Liab!M97=0,"",Liab!M97))</f>
        <v/>
      </c>
      <c r="M37" s="256" t="str">
        <f>IF(ISERROR(Liab!N97),"",IF(Liab!N97=0,"",Liab!N97))</f>
        <v/>
      </c>
      <c r="N37" s="256" t="str">
        <f>IF(ISERROR(Liab!O97),"",IF(Liab!O97=0,"",Liab!O97))</f>
        <v/>
      </c>
      <c r="O37" s="256" t="str">
        <f>IF(ISERROR(Liab!P97),"",IF(Liab!P97=0,"",Liab!P97))</f>
        <v/>
      </c>
      <c r="P37" s="256" t="str">
        <f>IF(ISERROR(Liab!Q97),"",IF(Liab!Q97=0,"",Liab!Q97))</f>
        <v/>
      </c>
      <c r="Q37" s="256" t="str">
        <f>IF(ISERROR(Liab!R97),"",IF(Liab!R97=0,"",Liab!R97))</f>
        <v/>
      </c>
      <c r="R37" s="256" t="str">
        <f>IF(ISERROR(Liab!S97),"",IF(Liab!S97=0,"",Liab!S97))</f>
        <v/>
      </c>
      <c r="S37" s="256" t="str">
        <f>IF(ISERROR(Liab!T97),"",IF(Liab!T97=0,"",Liab!T97))</f>
        <v/>
      </c>
      <c r="T37" s="256" t="str">
        <f>IF(ISERROR(Liab!U97),"",IF(Liab!U97=0,"",Liab!U97))</f>
        <v/>
      </c>
      <c r="U37" s="256" t="str">
        <f>IF(ISERROR(Liab!V97),"",IF(Liab!V97=0,"",Liab!V97))</f>
        <v/>
      </c>
      <c r="V37" s="637"/>
    </row>
    <row r="38" spans="1:22" s="278" customFormat="1" ht="15" x14ac:dyDescent="0.25">
      <c r="A38" s="285" t="s">
        <v>790</v>
      </c>
      <c r="B38" s="281">
        <f>SUM(B35:B37)</f>
        <v>7.9999999999999974E-2</v>
      </c>
      <c r="C38" s="281">
        <f t="shared" ref="C38:U38" si="11">SUM(C35:C37)</f>
        <v>0.16999999999999998</v>
      </c>
      <c r="D38" s="281">
        <f t="shared" si="11"/>
        <v>0.44000000000000017</v>
      </c>
      <c r="E38" s="281">
        <f t="shared" si="11"/>
        <v>8.6470000000000002</v>
      </c>
      <c r="F38" s="281">
        <f t="shared" si="11"/>
        <v>11.327</v>
      </c>
      <c r="G38" s="281">
        <f t="shared" si="11"/>
        <v>12.524507500000002</v>
      </c>
      <c r="H38" s="281">
        <f t="shared" si="11"/>
        <v>14.151916500000002</v>
      </c>
      <c r="I38" s="281">
        <f t="shared" si="11"/>
        <v>15.973643750000003</v>
      </c>
      <c r="J38" s="281">
        <f t="shared" si="11"/>
        <v>17.974723249999997</v>
      </c>
      <c r="K38" s="281">
        <f t="shared" si="11"/>
        <v>20.193128250000001</v>
      </c>
      <c r="L38" s="281">
        <f t="shared" si="11"/>
        <v>22.742396999999997</v>
      </c>
      <c r="M38" s="281">
        <f t="shared" si="11"/>
        <v>12.622396999999999</v>
      </c>
      <c r="N38" s="281">
        <f t="shared" si="11"/>
        <v>12.622396999999999</v>
      </c>
      <c r="O38" s="281">
        <f t="shared" si="11"/>
        <v>12.622396999999999</v>
      </c>
      <c r="P38" s="281">
        <f t="shared" si="11"/>
        <v>12.622396999999999</v>
      </c>
      <c r="Q38" s="281">
        <f t="shared" si="11"/>
        <v>12.622396999999999</v>
      </c>
      <c r="R38" s="281">
        <f t="shared" si="11"/>
        <v>12.622396999999999</v>
      </c>
      <c r="S38" s="281">
        <f t="shared" si="11"/>
        <v>12.622396999999999</v>
      </c>
      <c r="T38" s="281">
        <f t="shared" si="11"/>
        <v>12.622396999999999</v>
      </c>
      <c r="U38" s="281">
        <f t="shared" si="11"/>
        <v>12.622396999999999</v>
      </c>
      <c r="V38" s="639"/>
    </row>
    <row r="39" spans="1:22" s="278" customFormat="1" ht="15" x14ac:dyDescent="0.25">
      <c r="A39" s="285" t="s">
        <v>68</v>
      </c>
      <c r="B39" s="281">
        <f>IF(ISERROR((B34+B38)),"",IF((B34+B38)=0,"",(B34+B38)))</f>
        <v>0.27999999999999997</v>
      </c>
      <c r="C39" s="281">
        <f t="shared" ref="C39:U39" si="12">IF(ISERROR((C34+C38)),"",IF((C34+C38)=0,"",(C34+C38)))</f>
        <v>0.44</v>
      </c>
      <c r="D39" s="281">
        <f t="shared" si="12"/>
        <v>4.8500000000000005</v>
      </c>
      <c r="E39" s="281">
        <f t="shared" si="12"/>
        <v>15.25</v>
      </c>
      <c r="F39" s="281">
        <f t="shared" si="12"/>
        <v>26.807000000000002</v>
      </c>
      <c r="G39" s="281">
        <f t="shared" si="12"/>
        <v>27.497725000000006</v>
      </c>
      <c r="H39" s="281">
        <f t="shared" si="12"/>
        <v>27.859377500000015</v>
      </c>
      <c r="I39" s="281">
        <f t="shared" si="12"/>
        <v>27.444384000000014</v>
      </c>
      <c r="J39" s="281">
        <f t="shared" si="12"/>
        <v>27.122328750000008</v>
      </c>
      <c r="K39" s="281">
        <f t="shared" si="12"/>
        <v>26.783873250000013</v>
      </c>
      <c r="L39" s="281">
        <f t="shared" si="12"/>
        <v>26.234940749999996</v>
      </c>
      <c r="M39" s="281" t="str">
        <f t="shared" si="12"/>
        <v/>
      </c>
      <c r="N39" s="281" t="str">
        <f t="shared" si="12"/>
        <v/>
      </c>
      <c r="O39" s="281" t="str">
        <f t="shared" si="12"/>
        <v/>
      </c>
      <c r="P39" s="281" t="str">
        <f t="shared" si="12"/>
        <v/>
      </c>
      <c r="Q39" s="281" t="str">
        <f t="shared" si="12"/>
        <v/>
      </c>
      <c r="R39" s="281" t="str">
        <f t="shared" si="12"/>
        <v/>
      </c>
      <c r="S39" s="281" t="str">
        <f t="shared" si="12"/>
        <v/>
      </c>
      <c r="T39" s="281" t="str">
        <f t="shared" si="12"/>
        <v/>
      </c>
      <c r="U39" s="281" t="str">
        <f t="shared" si="12"/>
        <v/>
      </c>
      <c r="V39" s="639"/>
    </row>
    <row r="40" spans="1:22" s="278" customFormat="1" ht="15" x14ac:dyDescent="0.25">
      <c r="A40" s="635"/>
      <c r="B40" s="635"/>
      <c r="C40" s="635"/>
      <c r="D40" s="635"/>
      <c r="E40" s="635"/>
      <c r="F40" s="635"/>
      <c r="G40" s="635"/>
      <c r="H40" s="635"/>
      <c r="I40" s="635"/>
      <c r="J40" s="635"/>
      <c r="K40" s="635"/>
      <c r="L40" s="635"/>
      <c r="M40" s="635"/>
      <c r="N40" s="635"/>
      <c r="O40" s="635"/>
      <c r="P40" s="635"/>
      <c r="Q40" s="635"/>
      <c r="R40" s="635"/>
      <c r="S40" s="635"/>
      <c r="T40" s="635"/>
      <c r="U40" s="635"/>
      <c r="V40" s="639"/>
    </row>
    <row r="41" spans="1:22" ht="15" x14ac:dyDescent="0.25">
      <c r="A41" s="878" t="s">
        <v>113</v>
      </c>
      <c r="B41" s="261">
        <f>B17</f>
        <v>2020</v>
      </c>
      <c r="C41" s="261">
        <f t="shared" ref="C41:U41" si="13">C17</f>
        <v>2021</v>
      </c>
      <c r="D41" s="261">
        <f t="shared" si="13"/>
        <v>2022</v>
      </c>
      <c r="E41" s="261">
        <f t="shared" si="13"/>
        <v>2023</v>
      </c>
      <c r="F41" s="261">
        <f t="shared" si="13"/>
        <v>2024</v>
      </c>
      <c r="G41" s="261">
        <f t="shared" si="13"/>
        <v>2025</v>
      </c>
      <c r="H41" s="261">
        <f t="shared" si="13"/>
        <v>2026</v>
      </c>
      <c r="I41" s="261">
        <f t="shared" si="13"/>
        <v>2027</v>
      </c>
      <c r="J41" s="261">
        <f t="shared" si="13"/>
        <v>2028</v>
      </c>
      <c r="K41" s="261">
        <f t="shared" si="13"/>
        <v>2029</v>
      </c>
      <c r="L41" s="261">
        <f t="shared" si="13"/>
        <v>2030</v>
      </c>
      <c r="M41" s="261">
        <f t="shared" si="13"/>
        <v>2031</v>
      </c>
      <c r="N41" s="261">
        <f t="shared" si="13"/>
        <v>2032</v>
      </c>
      <c r="O41" s="261">
        <f t="shared" si="13"/>
        <v>2033</v>
      </c>
      <c r="P41" s="261">
        <f t="shared" si="13"/>
        <v>2034</v>
      </c>
      <c r="Q41" s="261">
        <f t="shared" si="13"/>
        <v>2035</v>
      </c>
      <c r="R41" s="261">
        <f t="shared" si="13"/>
        <v>2036</v>
      </c>
      <c r="S41" s="261">
        <f t="shared" si="13"/>
        <v>2037</v>
      </c>
      <c r="T41" s="261">
        <f t="shared" si="13"/>
        <v>2038</v>
      </c>
      <c r="U41" s="261">
        <f t="shared" si="13"/>
        <v>2039</v>
      </c>
      <c r="V41" s="637"/>
    </row>
    <row r="42" spans="1:22" ht="15" x14ac:dyDescent="0.25">
      <c r="A42" s="285" t="s">
        <v>670</v>
      </c>
      <c r="B42" s="273"/>
      <c r="C42" s="273"/>
      <c r="D42" s="273"/>
      <c r="E42" s="273"/>
      <c r="F42" s="273"/>
      <c r="G42" s="273"/>
      <c r="H42" s="273"/>
      <c r="I42" s="273"/>
      <c r="J42" s="273"/>
      <c r="K42" s="273"/>
      <c r="L42" s="273"/>
      <c r="M42" s="273"/>
      <c r="N42" s="273"/>
      <c r="O42" s="273"/>
      <c r="P42" s="273"/>
      <c r="Q42" s="273"/>
      <c r="R42" s="273"/>
      <c r="S42" s="273"/>
      <c r="T42" s="273"/>
      <c r="U42" s="273"/>
      <c r="V42" s="637"/>
    </row>
    <row r="43" spans="1:22" x14ac:dyDescent="0.2">
      <c r="A43" s="287" t="s">
        <v>846</v>
      </c>
      <c r="B43" s="256">
        <f>IF(ISERROR(Asset!C12),"",IF(Asset!C12=0,"",Asset!C12))</f>
        <v>0.12</v>
      </c>
      <c r="C43" s="256">
        <f>IF(ISERROR(Asset!D12),"",IF(Asset!D12=0,"",Asset!D12))</f>
        <v>0.19</v>
      </c>
      <c r="D43" s="256">
        <f>IF(ISERROR(Asset!E12),"",IF(Asset!E12=0,"",Asset!E12))</f>
        <v>0.3</v>
      </c>
      <c r="E43" s="256">
        <f>IF(ISERROR(Asset!F12),"",IF(Asset!F12=0,"",Asset!F12))</f>
        <v>0.3</v>
      </c>
      <c r="F43" s="256">
        <f>IF(ISERROR(Asset!G12),"",IF(Asset!G12=0,"",Asset!G12))</f>
        <v>0.8</v>
      </c>
      <c r="G43" s="256">
        <f>IF(ISERROR(Asset!H12),"",IF(Asset!H12=0,"",Asset!H12))</f>
        <v>0.92</v>
      </c>
      <c r="H43" s="256">
        <f>IF(ISERROR(Asset!I12),"",IF(Asset!I12=0,"",Asset!I12))</f>
        <v>0.95</v>
      </c>
      <c r="I43" s="256">
        <f>IF(ISERROR(Asset!J12),"",IF(Asset!J12=0,"",Asset!J12))</f>
        <v>0.95</v>
      </c>
      <c r="J43" s="256">
        <f>IF(ISERROR(Asset!K12),"",IF(Asset!K12=0,"",Asset!K12))</f>
        <v>0.95</v>
      </c>
      <c r="K43" s="256">
        <f>IF(ISERROR(Asset!L12),"",IF(Asset!L12=0,"",Asset!L12))</f>
        <v>1</v>
      </c>
      <c r="L43" s="256">
        <f>IF(ISERROR(Asset!M12),"",IF(Asset!M12=0,"",Asset!M12))</f>
        <v>1</v>
      </c>
      <c r="M43" s="256" t="str">
        <f>IF(ISERROR(Asset!N12),"",IF(Asset!N12=0,"",Asset!N12))</f>
        <v/>
      </c>
      <c r="N43" s="256" t="str">
        <f>IF(ISERROR(Asset!O12),"",IF(Asset!O12=0,"",Asset!O12))</f>
        <v/>
      </c>
      <c r="O43" s="256" t="str">
        <f>IF(ISERROR(Asset!P12),"",IF(Asset!P12=0,"",Asset!P12))</f>
        <v/>
      </c>
      <c r="P43" s="256" t="str">
        <f>IF(ISERROR(Asset!Q12),"",IF(Asset!Q12=0,"",Asset!Q12))</f>
        <v/>
      </c>
      <c r="Q43" s="256" t="str">
        <f>IF(ISERROR(Asset!R12),"",IF(Asset!R12=0,"",Asset!R12))</f>
        <v/>
      </c>
      <c r="R43" s="256" t="str">
        <f>IF(ISERROR(Asset!S12),"",IF(Asset!S12=0,"",Asset!S12))</f>
        <v/>
      </c>
      <c r="S43" s="256" t="str">
        <f>IF(ISERROR(Asset!T12),"",IF(Asset!T12=0,"",Asset!T12))</f>
        <v/>
      </c>
      <c r="T43" s="256" t="str">
        <f>IF(ISERROR(Asset!U12),"",IF(Asset!U12=0,"",Asset!U12))</f>
        <v/>
      </c>
      <c r="U43" s="256" t="str">
        <f>IF(ISERROR(Asset!V12),"",IF(Asset!V12=0,"",Asset!V12))</f>
        <v/>
      </c>
      <c r="V43" s="637"/>
    </row>
    <row r="44" spans="1:22" x14ac:dyDescent="0.2">
      <c r="A44" s="287" t="s">
        <v>855</v>
      </c>
      <c r="B44" s="256" t="str">
        <f>IF(ISERROR(Asset!C16),"",IF(Asset!C16=0,"",Asset!C16))</f>
        <v/>
      </c>
      <c r="C44" s="256" t="str">
        <f>IF(ISERROR(Asset!D16),"",IF(Asset!D16=0,"",Asset!D16))</f>
        <v/>
      </c>
      <c r="D44" s="256" t="str">
        <f>IF(ISERROR(Asset!E16),"",IF(Asset!E16=0,"",Asset!E16))</f>
        <v/>
      </c>
      <c r="E44" s="256" t="str">
        <f>IF(ISERROR(Asset!F16),"",IF(Asset!F16=0,"",Asset!F16))</f>
        <v/>
      </c>
      <c r="F44" s="256" t="str">
        <f>IF(ISERROR(Asset!G16),"",IF(Asset!G16=0,"",Asset!G16))</f>
        <v/>
      </c>
      <c r="G44" s="256" t="str">
        <f>IF(ISERROR(Asset!H16),"",IF(Asset!H16=0,"",Asset!H16))</f>
        <v/>
      </c>
      <c r="H44" s="256" t="str">
        <f>IF(ISERROR(Asset!I16),"",IF(Asset!I16=0,"",Asset!I16))</f>
        <v/>
      </c>
      <c r="I44" s="256" t="str">
        <f>IF(ISERROR(Asset!J16),"",IF(Asset!J16=0,"",Asset!J16))</f>
        <v/>
      </c>
      <c r="J44" s="256" t="str">
        <f>IF(ISERROR(Asset!K16),"",IF(Asset!K16=0,"",Asset!K16))</f>
        <v/>
      </c>
      <c r="K44" s="256" t="str">
        <f>IF(ISERROR(Asset!L16),"",IF(Asset!L16=0,"",Asset!L16))</f>
        <v/>
      </c>
      <c r="L44" s="256" t="str">
        <f>IF(ISERROR(Asset!M16),"",IF(Asset!M16=0,"",Asset!M16))</f>
        <v/>
      </c>
      <c r="M44" s="256" t="str">
        <f>IF(ISERROR(Asset!N16),"",IF(Asset!N16=0,"",Asset!N16))</f>
        <v/>
      </c>
      <c r="N44" s="256" t="str">
        <f>IF(ISERROR(Asset!O16),"",IF(Asset!O16=0,"",Asset!O16))</f>
        <v/>
      </c>
      <c r="O44" s="256" t="str">
        <f>IF(ISERROR(Asset!P16),"",IF(Asset!P16=0,"",Asset!P16))</f>
        <v/>
      </c>
      <c r="P44" s="256" t="str">
        <f>IF(ISERROR(Asset!Q16),"",IF(Asset!Q16=0,"",Asset!Q16))</f>
        <v/>
      </c>
      <c r="Q44" s="256" t="str">
        <f>IF(ISERROR(Asset!R16),"",IF(Asset!R16=0,"",Asset!R16))</f>
        <v/>
      </c>
      <c r="R44" s="256" t="str">
        <f>IF(ISERROR(Asset!S16),"",IF(Asset!S16=0,"",Asset!S16))</f>
        <v/>
      </c>
      <c r="S44" s="256" t="str">
        <f>IF(ISERROR(Asset!T16),"",IF(Asset!T16=0,"",Asset!T16))</f>
        <v/>
      </c>
      <c r="T44" s="256" t="str">
        <f>IF(ISERROR(Asset!U16),"",IF(Asset!U16=0,"",Asset!U16))</f>
        <v/>
      </c>
      <c r="U44" s="256" t="str">
        <f>IF(ISERROR(Asset!V16),"",IF(Asset!V16=0,"",Asset!V16))</f>
        <v/>
      </c>
      <c r="V44" s="637"/>
    </row>
    <row r="45" spans="1:22" x14ac:dyDescent="0.2">
      <c r="A45" s="287" t="s">
        <v>847</v>
      </c>
      <c r="B45" s="256">
        <f>IF(ISERROR(Asset!C19+Asset!C22),"",IF(Asset!C19+Asset!C22=0,"",Asset!C19+Asset!C22))</f>
        <v>0.01</v>
      </c>
      <c r="C45" s="256">
        <f>IF(ISERROR(Asset!D19+Asset!D22),"",IF(Asset!D19+Asset!D22=0,"",Asset!D19+Asset!D22))</f>
        <v>0.1</v>
      </c>
      <c r="D45" s="256">
        <f>IF(ISERROR(Asset!E19+Asset!E22),"",IF(Asset!E19+Asset!E22=0,"",Asset!E19+Asset!E22))</f>
        <v>0.28999999999999998</v>
      </c>
      <c r="E45" s="256">
        <f>IF(ISERROR(Asset!F19+Asset!F22),"",IF(Asset!F19+Asset!F22=0,"",Asset!F19+Asset!F22))</f>
        <v>0.6</v>
      </c>
      <c r="F45" s="256">
        <f>IF(ISERROR(Asset!G19+Asset!G22),"",IF(Asset!G19+Asset!G22=0,"",Asset!G19+Asset!G22))</f>
        <v>2.5</v>
      </c>
      <c r="G45" s="256">
        <f>IF(ISERROR(Asset!H19+Asset!H22),"",IF(Asset!H19+Asset!H22=0,"",Asset!H19+Asset!H22))</f>
        <v>4.71</v>
      </c>
      <c r="H45" s="256">
        <f>IF(ISERROR(Asset!I19+Asset!I22),"",IF(Asset!I19+Asset!I22=0,"",Asset!I19+Asset!I22))</f>
        <v>5.57</v>
      </c>
      <c r="I45" s="256">
        <f>IF(ISERROR(Asset!J19+Asset!J22),"",IF(Asset!J19+Asset!J22=0,"",Asset!J19+Asset!J22))</f>
        <v>6</v>
      </c>
      <c r="J45" s="256">
        <f>IF(ISERROR(Asset!K19+Asset!K22),"",IF(Asset!K19+Asset!K22=0,"",Asset!K19+Asset!K22))</f>
        <v>6.43</v>
      </c>
      <c r="K45" s="256">
        <f>IF(ISERROR(Asset!L19+Asset!L22),"",IF(Asset!L19+Asset!L22=0,"",Asset!L19+Asset!L22))</f>
        <v>6.86</v>
      </c>
      <c r="L45" s="256">
        <f>IF(ISERROR(Asset!M19+Asset!M22),"",IF(Asset!M19+Asset!M22=0,"",Asset!M19+Asset!M22))</f>
        <v>7.28</v>
      </c>
      <c r="M45" s="256" t="str">
        <f>IF(ISERROR(Asset!N19+Asset!N22),"",IF(Asset!N19+Asset!N22=0,"",Asset!N19+Asset!N22))</f>
        <v/>
      </c>
      <c r="N45" s="256" t="str">
        <f>IF(ISERROR(Asset!O19+Asset!O22),"",IF(Asset!O19+Asset!O22=0,"",Asset!O19+Asset!O22))</f>
        <v/>
      </c>
      <c r="O45" s="256" t="str">
        <f>IF(ISERROR(Asset!P19+Asset!P22),"",IF(Asset!P19+Asset!P22=0,"",Asset!P19+Asset!P22))</f>
        <v/>
      </c>
      <c r="P45" s="256" t="str">
        <f>IF(ISERROR(Asset!Q19+Asset!Q22),"",IF(Asset!Q19+Asset!Q22=0,"",Asset!Q19+Asset!Q22))</f>
        <v/>
      </c>
      <c r="Q45" s="256" t="str">
        <f>IF(ISERROR(Asset!R19+Asset!R22),"",IF(Asset!R19+Asset!R22=0,"",Asset!R19+Asset!R22))</f>
        <v/>
      </c>
      <c r="R45" s="256" t="str">
        <f>IF(ISERROR(Asset!S19+Asset!S22),"",IF(Asset!S19+Asset!S22=0,"",Asset!S19+Asset!S22))</f>
        <v/>
      </c>
      <c r="S45" s="256" t="str">
        <f>IF(ISERROR(Asset!T19+Asset!T22),"",IF(Asset!T19+Asset!T22=0,"",Asset!T19+Asset!T22))</f>
        <v/>
      </c>
      <c r="T45" s="256" t="str">
        <f>IF(ISERROR(Asset!U19+Asset!U22),"",IF(Asset!U19+Asset!U22=0,"",Asset!U19+Asset!U22))</f>
        <v/>
      </c>
      <c r="U45" s="256" t="str">
        <f>IF(ISERROR(Asset!V19+Asset!V22),"",IF(Asset!V19+Asset!V22=0,"",Asset!V19+Asset!V22))</f>
        <v/>
      </c>
      <c r="V45" s="637"/>
    </row>
    <row r="46" spans="1:22" ht="15" customHeight="1" x14ac:dyDescent="0.2">
      <c r="A46" s="287" t="s">
        <v>856</v>
      </c>
      <c r="B46" s="256" t="str">
        <f>IF(ISERROR(Asset!C15),"",IF(Asset!C15=0,"",Asset!C15))</f>
        <v/>
      </c>
      <c r="C46" s="256" t="str">
        <f>IF(ISERROR(Asset!D15),"",IF(Asset!D15=0,"",Asset!D15))</f>
        <v/>
      </c>
      <c r="D46" s="256" t="str">
        <f>IF(ISERROR(Asset!E15),"",IF(Asset!E15=0,"",Asset!E15))</f>
        <v/>
      </c>
      <c r="E46" s="256" t="str">
        <f>IF(ISERROR(Asset!F15),"",IF(Asset!F15=0,"",Asset!F15))</f>
        <v/>
      </c>
      <c r="F46" s="256" t="str">
        <f>IF(ISERROR(Asset!G15),"",IF(Asset!G15=0,"",Asset!G15))</f>
        <v/>
      </c>
      <c r="G46" s="256" t="str">
        <f>IF(ISERROR(Asset!H15),"",IF(Asset!H15=0,"",Asset!H15))</f>
        <v/>
      </c>
      <c r="H46" s="256" t="str">
        <f>IF(ISERROR(Asset!I15),"",IF(Asset!I15=0,"",Asset!I15))</f>
        <v/>
      </c>
      <c r="I46" s="256" t="str">
        <f>IF(ISERROR(Asset!J15),"",IF(Asset!J15=0,"",Asset!J15))</f>
        <v/>
      </c>
      <c r="J46" s="256" t="str">
        <f>IF(ISERROR(Asset!K15),"",IF(Asset!K15=0,"",Asset!K15))</f>
        <v/>
      </c>
      <c r="K46" s="256" t="str">
        <f>IF(ISERROR(Asset!L15),"",IF(Asset!L15=0,"",Asset!L15))</f>
        <v/>
      </c>
      <c r="L46" s="256" t="str">
        <f>IF(ISERROR(Asset!M15),"",IF(Asset!M15=0,"",Asset!M15))</f>
        <v/>
      </c>
      <c r="M46" s="256" t="str">
        <f>IF(ISERROR(Asset!N15),"",IF(Asset!N15=0,"",Asset!N15))</f>
        <v/>
      </c>
      <c r="N46" s="256" t="str">
        <f>IF(ISERROR(Asset!O15),"",IF(Asset!O15=0,"",Asset!O15))</f>
        <v/>
      </c>
      <c r="O46" s="256" t="str">
        <f>IF(ISERROR(Asset!P15),"",IF(Asset!P15=0,"",Asset!P15))</f>
        <v/>
      </c>
      <c r="P46" s="256" t="str">
        <f>IF(ISERROR(Asset!Q15),"",IF(Asset!Q15=0,"",Asset!Q15))</f>
        <v/>
      </c>
      <c r="Q46" s="256" t="str">
        <f>IF(ISERROR(Asset!R15),"",IF(Asset!R15=0,"",Asset!R15))</f>
        <v/>
      </c>
      <c r="R46" s="256" t="str">
        <f>IF(ISERROR(Asset!S15),"",IF(Asset!S15=0,"",Asset!S15))</f>
        <v/>
      </c>
      <c r="S46" s="256" t="str">
        <f>IF(ISERROR(Asset!T15),"",IF(Asset!T15=0,"",Asset!T15))</f>
        <v/>
      </c>
      <c r="T46" s="256" t="str">
        <f>IF(ISERROR(Asset!U15),"",IF(Asset!U15=0,"",Asset!U15))</f>
        <v/>
      </c>
      <c r="U46" s="256" t="str">
        <f>IF(ISERROR(Asset!V15),"",IF(Asset!V15=0,"",Asset!V15))</f>
        <v/>
      </c>
      <c r="V46" s="637"/>
    </row>
    <row r="47" spans="1:22" x14ac:dyDescent="0.2">
      <c r="A47" s="287" t="s">
        <v>848</v>
      </c>
      <c r="B47" s="256" t="str">
        <f>IF(ISERROR(Asset!C40),"",IF(Asset!C40=0,"",Asset!C40))</f>
        <v/>
      </c>
      <c r="C47" s="256" t="str">
        <f>IF(ISERROR(Asset!D40),"",IF(Asset!D40=0,"",Asset!D40))</f>
        <v/>
      </c>
      <c r="D47" s="256" t="str">
        <f>IF(ISERROR(Asset!E40),"",IF(Asset!E40=0,"",Asset!E40))</f>
        <v/>
      </c>
      <c r="E47" s="256" t="str">
        <f>IF(ISERROR(Asset!F40),"",IF(Asset!F40=0,"",Asset!F40))</f>
        <v/>
      </c>
      <c r="F47" s="256">
        <f>IF(ISERROR(Asset!G40),"",IF(Asset!G40=0,"",Asset!G40))</f>
        <v>2</v>
      </c>
      <c r="G47" s="256">
        <f>IF(ISERROR(Asset!H40),"",IF(Asset!H40=0,"",Asset!H40))</f>
        <v>2.6</v>
      </c>
      <c r="H47" s="256">
        <f>IF(ISERROR(Asset!I40),"",IF(Asset!I40=0,"",Asset!I40))</f>
        <v>4</v>
      </c>
      <c r="I47" s="256">
        <f>IF(ISERROR(Asset!J40),"",IF(Asset!J40=0,"",Asset!J40))</f>
        <v>4.5</v>
      </c>
      <c r="J47" s="256">
        <f>IF(ISERROR(Asset!K40),"",IF(Asset!K40=0,"",Asset!K40))</f>
        <v>5</v>
      </c>
      <c r="K47" s="256">
        <f>IF(ISERROR(Asset!L40),"",IF(Asset!L40=0,"",Asset!L40))</f>
        <v>5.25</v>
      </c>
      <c r="L47" s="256">
        <f>IF(ISERROR(Asset!M40),"",IF(Asset!M40=0,"",Asset!M40))</f>
        <v>5.3</v>
      </c>
      <c r="M47" s="256" t="str">
        <f>IF(ISERROR(Asset!N40),"",IF(Asset!N40=0,"",Asset!N40))</f>
        <v/>
      </c>
      <c r="N47" s="256" t="str">
        <f>IF(ISERROR(Asset!O40),"",IF(Asset!O40=0,"",Asset!O40))</f>
        <v/>
      </c>
      <c r="O47" s="256" t="str">
        <f>IF(ISERROR(Asset!P40),"",IF(Asset!P40=0,"",Asset!P40))</f>
        <v/>
      </c>
      <c r="P47" s="256" t="str">
        <f>IF(ISERROR(Asset!Q40),"",IF(Asset!Q40=0,"",Asset!Q40))</f>
        <v/>
      </c>
      <c r="Q47" s="256" t="str">
        <f>IF(ISERROR(Asset!R40),"",IF(Asset!R40=0,"",Asset!R40))</f>
        <v/>
      </c>
      <c r="R47" s="256" t="str">
        <f>IF(ISERROR(Asset!S40),"",IF(Asset!S40=0,"",Asset!S40))</f>
        <v/>
      </c>
      <c r="S47" s="256" t="str">
        <f>IF(ISERROR(Asset!T40),"",IF(Asset!T40=0,"",Asset!T40))</f>
        <v/>
      </c>
      <c r="T47" s="256" t="str">
        <f>IF(ISERROR(Asset!U40),"",IF(Asset!U40=0,"",Asset!U40))</f>
        <v/>
      </c>
      <c r="U47" s="256" t="str">
        <f>IF(ISERROR(Asset!V40),"",IF(Asset!V40=0,"",Asset!V40))</f>
        <v/>
      </c>
      <c r="V47" s="637"/>
    </row>
    <row r="48" spans="1:22" x14ac:dyDescent="0.2">
      <c r="A48" s="287" t="s">
        <v>849</v>
      </c>
      <c r="B48" s="256" t="str">
        <f>IF(ISERROR(Asset!C26),"",IF(Asset!C26=0,"",Asset!C26))</f>
        <v/>
      </c>
      <c r="C48" s="256" t="str">
        <f>IF(ISERROR(Asset!D26),"",IF(Asset!D26=0,"",Asset!D26))</f>
        <v/>
      </c>
      <c r="D48" s="256" t="str">
        <f>IF(ISERROR(Asset!E26),"",IF(Asset!E26=0,"",Asset!E26))</f>
        <v/>
      </c>
      <c r="E48" s="256" t="str">
        <f>IF(ISERROR(Asset!F26),"",IF(Asset!F26=0,"",Asset!F26))</f>
        <v/>
      </c>
      <c r="F48" s="256" t="str">
        <f>IF(ISERROR(Asset!G26),"",IF(Asset!G26=0,"",Asset!G26))</f>
        <v/>
      </c>
      <c r="G48" s="256" t="str">
        <f>IF(ISERROR(Asset!H26),"",IF(Asset!H26=0,"",Asset!H26))</f>
        <v/>
      </c>
      <c r="H48" s="256" t="str">
        <f>IF(ISERROR(Asset!I26),"",IF(Asset!I26=0,"",Asset!I26))</f>
        <v/>
      </c>
      <c r="I48" s="256" t="str">
        <f>IF(ISERROR(Asset!J26),"",IF(Asset!J26=0,"",Asset!J26))</f>
        <v/>
      </c>
      <c r="J48" s="256" t="str">
        <f>IF(ISERROR(Asset!K26),"",IF(Asset!K26=0,"",Asset!K26))</f>
        <v/>
      </c>
      <c r="K48" s="256" t="str">
        <f>IF(ISERROR(Asset!L26),"",IF(Asset!L26=0,"",Asset!L26))</f>
        <v/>
      </c>
      <c r="L48" s="256" t="str">
        <f>IF(ISERROR(Asset!M26),"",IF(Asset!M26=0,"",Asset!M26))</f>
        <v/>
      </c>
      <c r="M48" s="256" t="str">
        <f>IF(ISERROR(Asset!N26),"",IF(Asset!N26=0,"",Asset!N26))</f>
        <v/>
      </c>
      <c r="N48" s="256" t="str">
        <f>IF(ISERROR(Asset!O26),"",IF(Asset!O26=0,"",Asset!O26))</f>
        <v/>
      </c>
      <c r="O48" s="256" t="str">
        <f>IF(ISERROR(Asset!P26),"",IF(Asset!P26=0,"",Asset!P26))</f>
        <v/>
      </c>
      <c r="P48" s="256" t="str">
        <f>IF(ISERROR(Asset!Q26),"",IF(Asset!Q26=0,"",Asset!Q26))</f>
        <v/>
      </c>
      <c r="Q48" s="256" t="str">
        <f>IF(ISERROR(Asset!R26),"",IF(Asset!R26=0,"",Asset!R26))</f>
        <v/>
      </c>
      <c r="R48" s="256" t="str">
        <f>IF(ISERROR(Asset!S26),"",IF(Asset!S26=0,"",Asset!S26))</f>
        <v/>
      </c>
      <c r="S48" s="256" t="str">
        <f>IF(ISERROR(Asset!T26),"",IF(Asset!T26=0,"",Asset!T26))</f>
        <v/>
      </c>
      <c r="T48" s="256" t="str">
        <f>IF(ISERROR(Asset!U26),"",IF(Asset!U26=0,"",Asset!U26))</f>
        <v/>
      </c>
      <c r="U48" s="256" t="str">
        <f>IF(ISERROR(Asset!V26),"",IF(Asset!V26=0,"",Asset!V26))</f>
        <v/>
      </c>
      <c r="V48" s="637"/>
    </row>
    <row r="49" spans="1:22" ht="15" customHeight="1" x14ac:dyDescent="0.2">
      <c r="A49" s="287" t="s">
        <v>858</v>
      </c>
      <c r="B49" s="256">
        <f>IF(ISERROR(Asset!C42+Asset!C45+SUM(Asset!C47:C49)),"",IF(Asset!C42+Asset!C45+SUM(Asset!C47:C49)=0,"",Asset!C42+Asset!C45+SUM(Asset!C47:C49)))</f>
        <v>0.08</v>
      </c>
      <c r="C49" s="256">
        <f>IF(ISERROR(Asset!D42+Asset!D45+SUM(Asset!D47:D49)),"",IF(Asset!D42+Asset!D45+SUM(Asset!D47:D49)=0,"",Asset!D42+Asset!D45+SUM(Asset!D47:D49)))</f>
        <v>0.08</v>
      </c>
      <c r="D49" s="256">
        <f>IF(ISERROR(Asset!E42+Asset!E45+SUM(Asset!E47:E49)),"",IF(Asset!E42+Asset!E45+SUM(Asset!E47:E49)=0,"",Asset!E42+Asset!E45+SUM(Asset!E47:E49)))</f>
        <v>9.9999999999999992E-2</v>
      </c>
      <c r="E49" s="256">
        <f>IF(ISERROR(Asset!F42+Asset!F45+SUM(Asset!F47:F49)),"",IF(Asset!F42+Asset!F45+SUM(Asset!F47:F49)=0,"",Asset!F42+Asset!F45+SUM(Asset!F47:F49)))</f>
        <v>0.16999999999999998</v>
      </c>
      <c r="F49" s="256">
        <f>IF(ISERROR(Asset!G42+Asset!G45+SUM(Asset!G47:G49)),"",IF(Asset!G42+Asset!G45+SUM(Asset!G47:G49)=0,"",Asset!G42+Asset!G45+SUM(Asset!G47:G49)))</f>
        <v>1.06</v>
      </c>
      <c r="G49" s="256">
        <f>IF(ISERROR(Asset!H42+Asset!H45+SUM(Asset!H47:H49)),"",IF(Asset!H42+Asset!H45+SUM(Asset!H47:H49)=0,"",Asset!H42+Asset!H45+SUM(Asset!H47:H49)))</f>
        <v>1.3149131250000006</v>
      </c>
      <c r="H49" s="256">
        <f>IF(ISERROR(Asset!I42+Asset!I45+SUM(Asset!I47:I49)),"",IF(Asset!I42+Asset!I45+SUM(Asset!I47:I49)=0,"",Asset!I42+Asset!I45+SUM(Asset!I47:I49)))</f>
        <v>1.5730957500000002</v>
      </c>
      <c r="I49" s="256">
        <f>IF(ISERROR(Asset!J42+Asset!J45+SUM(Asset!J47:J49)),"",IF(Asset!J42+Asset!J45+SUM(Asset!J47:J49)=0,"",Asset!J42+Asset!J45+SUM(Asset!J47:J49)))</f>
        <v>2.1255551874999998</v>
      </c>
      <c r="J49" s="256">
        <f>IF(ISERROR(Asset!K42+Asset!K45+SUM(Asset!K47:K49)),"",IF(Asset!K42+Asset!K45+SUM(Asset!K47:K49)=0,"",Asset!K42+Asset!K45+SUM(Asset!K47:K49)))</f>
        <v>2.5332041249999984</v>
      </c>
      <c r="K49" s="256">
        <f>IF(ISERROR(Asset!L42+Asset!L45+SUM(Asset!L47:L49)),"",IF(Asset!L42+Asset!L45+SUM(Asset!L47:L49)=0,"",Asset!L42+Asset!L45+SUM(Asset!L47:L49)))</f>
        <v>2.8930587500000002</v>
      </c>
      <c r="L49" s="256">
        <f>IF(ISERROR(Asset!M42+Asset!M45+SUM(Asset!M47:M49)),"",IF(Asset!M42+Asset!M45+SUM(Asset!M47:M49)=0,"",Asset!M42+Asset!M45+SUM(Asset!M47:M49)))</f>
        <v>3.1194078124999995</v>
      </c>
      <c r="M49" s="256" t="str">
        <f>IF(ISERROR(Asset!N42+Asset!N45+SUM(Asset!N47:N49)),"",IF(Asset!N42+Asset!N45+SUM(Asset!N47:N49)=0,"",Asset!N42+Asset!N45+SUM(Asset!N47:N49)))</f>
        <v/>
      </c>
      <c r="N49" s="256" t="str">
        <f>IF(ISERROR(Asset!O42+Asset!O45+SUM(Asset!O47:O49)),"",IF(Asset!O42+Asset!O45+SUM(Asset!O47:O49)=0,"",Asset!O42+Asset!O45+SUM(Asset!O47:O49)))</f>
        <v/>
      </c>
      <c r="O49" s="256" t="str">
        <f>IF(ISERROR(Asset!P42+Asset!P45+SUM(Asset!P47:P49)),"",IF(Asset!P42+Asset!P45+SUM(Asset!P47:P49)=0,"",Asset!P42+Asset!P45+SUM(Asset!P47:P49)))</f>
        <v/>
      </c>
      <c r="P49" s="256" t="str">
        <f>IF(ISERROR(Asset!Q42+Asset!Q45+SUM(Asset!Q47:Q49)),"",IF(Asset!Q42+Asset!Q45+SUM(Asset!Q47:Q49)=0,"",Asset!Q42+Asset!Q45+SUM(Asset!Q47:Q49)))</f>
        <v/>
      </c>
      <c r="Q49" s="256" t="str">
        <f>IF(ISERROR(Asset!R42+Asset!R45+SUM(Asset!R47:R49)),"",IF(Asset!R42+Asset!R45+SUM(Asset!R47:R49)=0,"",Asset!R42+Asset!R45+SUM(Asset!R47:R49)))</f>
        <v/>
      </c>
      <c r="R49" s="256" t="str">
        <f>IF(ISERROR(Asset!S42+Asset!S45+SUM(Asset!S47:S49)),"",IF(Asset!S42+Asset!S45+SUM(Asset!S47:S49)=0,"",Asset!S42+Asset!S45+SUM(Asset!S47:S49)))</f>
        <v/>
      </c>
      <c r="S49" s="256" t="str">
        <f>IF(ISERROR(Asset!T42+Asset!T45+SUM(Asset!T47:T49)),"",IF(Asset!T42+Asset!T45+SUM(Asset!T47:T49)=0,"",Asset!T42+Asset!T45+SUM(Asset!T47:T49)))</f>
        <v/>
      </c>
      <c r="T49" s="256" t="str">
        <f>IF(ISERROR(Asset!U42+Asset!U45+SUM(Asset!U47:U49)),"",IF(Asset!U42+Asset!U45+SUM(Asset!U47:U49)=0,"",Asset!U42+Asset!U45+SUM(Asset!U47:U49)))</f>
        <v/>
      </c>
      <c r="U49" s="256" t="str">
        <f>IF(ISERROR(Asset!V42+Asset!V45+SUM(Asset!V47:V49)),"",IF(Asset!V42+Asset!V45+SUM(Asset!V47:V49)=0,"",Asset!V42+Asset!V45+SUM(Asset!V47:V49)))</f>
        <v/>
      </c>
      <c r="V49" s="637"/>
    </row>
    <row r="50" spans="1:22" s="278" customFormat="1" ht="15" x14ac:dyDescent="0.25">
      <c r="A50" s="285" t="s">
        <v>671</v>
      </c>
      <c r="B50" s="281">
        <f>SUM(B43:B49)</f>
        <v>0.21000000000000002</v>
      </c>
      <c r="C50" s="281">
        <f t="shared" ref="C50:U50" si="14">SUM(C43:C49)</f>
        <v>0.37000000000000005</v>
      </c>
      <c r="D50" s="281">
        <f t="shared" si="14"/>
        <v>0.69</v>
      </c>
      <c r="E50" s="281">
        <f t="shared" si="14"/>
        <v>1.0699999999999998</v>
      </c>
      <c r="F50" s="281">
        <f t="shared" si="14"/>
        <v>6.3599999999999994</v>
      </c>
      <c r="G50" s="281">
        <f t="shared" si="14"/>
        <v>9.5449131250000008</v>
      </c>
      <c r="H50" s="281">
        <f t="shared" si="14"/>
        <v>12.09309575</v>
      </c>
      <c r="I50" s="281">
        <f t="shared" si="14"/>
        <v>13.575555187499999</v>
      </c>
      <c r="J50" s="281">
        <f t="shared" si="14"/>
        <v>14.913204124999996</v>
      </c>
      <c r="K50" s="281">
        <f t="shared" si="14"/>
        <v>16.003058750000001</v>
      </c>
      <c r="L50" s="281">
        <f t="shared" si="14"/>
        <v>16.699407812500002</v>
      </c>
      <c r="M50" s="281">
        <f t="shared" si="14"/>
        <v>0</v>
      </c>
      <c r="N50" s="281">
        <f t="shared" si="14"/>
        <v>0</v>
      </c>
      <c r="O50" s="281">
        <f t="shared" si="14"/>
        <v>0</v>
      </c>
      <c r="P50" s="281">
        <f t="shared" si="14"/>
        <v>0</v>
      </c>
      <c r="Q50" s="281">
        <f t="shared" si="14"/>
        <v>0</v>
      </c>
      <c r="R50" s="281">
        <f t="shared" si="14"/>
        <v>0</v>
      </c>
      <c r="S50" s="281">
        <f t="shared" si="14"/>
        <v>0</v>
      </c>
      <c r="T50" s="281">
        <f t="shared" si="14"/>
        <v>0</v>
      </c>
      <c r="U50" s="281">
        <f t="shared" si="14"/>
        <v>0</v>
      </c>
      <c r="V50" s="639"/>
    </row>
    <row r="51" spans="1:22" x14ac:dyDescent="0.2">
      <c r="A51" s="287" t="s">
        <v>672</v>
      </c>
      <c r="B51" s="286"/>
      <c r="C51" s="286"/>
      <c r="D51" s="286"/>
      <c r="E51" s="286"/>
      <c r="F51" s="286"/>
      <c r="G51" s="286"/>
      <c r="H51" s="286"/>
      <c r="I51" s="286"/>
      <c r="J51" s="286"/>
      <c r="K51" s="286"/>
      <c r="L51" s="286"/>
      <c r="M51" s="286"/>
      <c r="N51" s="286"/>
      <c r="O51" s="286"/>
      <c r="P51" s="286"/>
      <c r="Q51" s="286"/>
      <c r="R51" s="286"/>
      <c r="S51" s="286"/>
      <c r="T51" s="286"/>
      <c r="U51" s="286"/>
      <c r="V51" s="637"/>
    </row>
    <row r="52" spans="1:22" x14ac:dyDescent="0.2">
      <c r="A52" s="287" t="s">
        <v>69</v>
      </c>
      <c r="B52" s="256">
        <f>IF(ISERROR(Asset!C60),"",IF(Asset!C60=0,"",Asset!C60))</f>
        <v>0.1</v>
      </c>
      <c r="C52" s="256">
        <f>IF(ISERROR(Asset!D60),"",IF(Asset!D60=0,"",Asset!D60))</f>
        <v>0.12</v>
      </c>
      <c r="D52" s="256">
        <f>IF(ISERROR(Asset!E60),"",IF(Asset!E60=0,"",Asset!E60))</f>
        <v>4.0599999999999996</v>
      </c>
      <c r="E52" s="256">
        <f>IF(ISERROR(Asset!F60),"",IF(Asset!F60=0,"",Asset!F60))</f>
        <v>12.5</v>
      </c>
      <c r="F52" s="256">
        <f>IF(ISERROR(Asset!G60),"",IF(Asset!G60=0,"",Asset!G60))</f>
        <v>21.71</v>
      </c>
      <c r="G52" s="256">
        <f>IF(ISERROR(Asset!H60),"",IF(Asset!H60=0,"",Asset!H60))</f>
        <v>21.71</v>
      </c>
      <c r="H52" s="256">
        <f>IF(ISERROR(Asset!I60),"",IF(Asset!I60=0,"",Asset!I60))</f>
        <v>21.71</v>
      </c>
      <c r="I52" s="256">
        <f>IF(ISERROR(Asset!J60),"",IF(Asset!J60=0,"",Asset!J60))</f>
        <v>21.71</v>
      </c>
      <c r="J52" s="256">
        <f>IF(ISERROR(Asset!K60),"",IF(Asset!K60=0,"",Asset!K60))</f>
        <v>21.71</v>
      </c>
      <c r="K52" s="256">
        <f>IF(ISERROR(Asset!L60),"",IF(Asset!L60=0,"",Asset!L60))</f>
        <v>21.71</v>
      </c>
      <c r="L52" s="256">
        <f>IF(ISERROR(Asset!M60),"",IF(Asset!M60=0,"",Asset!M60))</f>
        <v>21.71</v>
      </c>
      <c r="M52" s="256">
        <f>IF(ISERROR(Asset!N60),"",IF(Asset!N60=0,"",Asset!N60))</f>
        <v>21.71</v>
      </c>
      <c r="N52" s="256">
        <f>IF(ISERROR(Asset!O60),"",IF(Asset!O60=0,"",Asset!O60))</f>
        <v>21.71</v>
      </c>
      <c r="O52" s="256">
        <f>IF(ISERROR(Asset!P60),"",IF(Asset!P60=0,"",Asset!P60))</f>
        <v>21.71</v>
      </c>
      <c r="P52" s="256" t="str">
        <f>IF(ISERROR(Asset!Q60),"",IF(Asset!Q60=0,"",Asset!Q60))</f>
        <v/>
      </c>
      <c r="Q52" s="256" t="str">
        <f>IF(ISERROR(Asset!R60),"",IF(Asset!R60=0,"",Asset!R60))</f>
        <v/>
      </c>
      <c r="R52" s="256" t="str">
        <f>IF(ISERROR(Asset!S60),"",IF(Asset!S60=0,"",Asset!S60))</f>
        <v/>
      </c>
      <c r="S52" s="256" t="str">
        <f>IF(ISERROR(Asset!T60),"",IF(Asset!T60=0,"",Asset!T60))</f>
        <v/>
      </c>
      <c r="T52" s="256" t="str">
        <f>IF(ISERROR(Asset!U60),"",IF(Asset!U60=0,"",Asset!U60))</f>
        <v/>
      </c>
      <c r="U52" s="256" t="str">
        <f>IF(ISERROR(Asset!V60),"",IF(Asset!V60=0,"",Asset!V60))</f>
        <v/>
      </c>
      <c r="V52" s="637"/>
    </row>
    <row r="53" spans="1:22" x14ac:dyDescent="0.2">
      <c r="A53" s="287" t="s">
        <v>70</v>
      </c>
      <c r="B53" s="256">
        <f>IF(ISERROR(Asset!C62),"",IF(Asset!C62=0,"",Asset!C62))</f>
        <v>0.03</v>
      </c>
      <c r="C53" s="256">
        <f>IF(ISERROR(Asset!D62),"",IF(Asset!D62=0,"",Asset!D62))</f>
        <v>0.05</v>
      </c>
      <c r="D53" s="256">
        <f>IF(ISERROR(Asset!E62),"",IF(Asset!E62=0,"",Asset!E62))</f>
        <v>7.0000000000000007E-2</v>
      </c>
      <c r="E53" s="256">
        <f>IF(ISERROR(Asset!F62),"",IF(Asset!F62=0,"",Asset!F62))</f>
        <v>9.0000000000000011E-2</v>
      </c>
      <c r="F53" s="256">
        <f>IF(ISERROR(Asset!G62),"",IF(Asset!G62=0,"",Asset!G62))</f>
        <v>1.6600000000000001</v>
      </c>
      <c r="G53" s="256">
        <f>IF(ISERROR(Asset!H62),"",IF(Asset!H62=0,"",Asset!H62))</f>
        <v>4.1400000000000006</v>
      </c>
      <c r="H53" s="256">
        <f>IF(ISERROR(Asset!I62),"",IF(Asset!I62=0,"",Asset!I62))</f>
        <v>6.3000000000000007</v>
      </c>
      <c r="I53" s="256">
        <f>IF(ISERROR(Asset!J62),"",IF(Asset!J62=0,"",Asset!J62))</f>
        <v>8.18</v>
      </c>
      <c r="J53" s="256">
        <f>IF(ISERROR(Asset!K62),"",IF(Asset!K62=0,"",Asset!K62))</f>
        <v>9.82</v>
      </c>
      <c r="K53" s="256">
        <f>IF(ISERROR(Asset!L62),"",IF(Asset!L62=0,"",Asset!L62))</f>
        <v>11.25</v>
      </c>
      <c r="L53" s="256">
        <f>IF(ISERROR(Asset!M62),"",IF(Asset!M62=0,"",Asset!M62))</f>
        <v>12.49</v>
      </c>
      <c r="M53" s="256">
        <f>IF(ISERROR(Asset!N62),"",IF(Asset!N62=0,"",Asset!N62))</f>
        <v>12.49</v>
      </c>
      <c r="N53" s="256">
        <f>IF(ISERROR(Asset!O62),"",IF(Asset!O62=0,"",Asset!O62))</f>
        <v>12.49</v>
      </c>
      <c r="O53" s="256">
        <f>IF(ISERROR(Asset!P62),"",IF(Asset!P62=0,"",Asset!P62))</f>
        <v>12.49</v>
      </c>
      <c r="P53" s="256">
        <f>IF(ISERROR(Asset!Q62),"",IF(Asset!Q62=0,"",Asset!Q62))</f>
        <v>12.49</v>
      </c>
      <c r="Q53" s="256">
        <f>IF(ISERROR(Asset!R62),"",IF(Asset!R62=0,"",Asset!R62))</f>
        <v>12.49</v>
      </c>
      <c r="R53" s="256">
        <f>IF(ISERROR(Asset!S62),"",IF(Asset!S62=0,"",Asset!S62))</f>
        <v>12.49</v>
      </c>
      <c r="S53" s="256">
        <f>IF(ISERROR(Asset!T62),"",IF(Asset!T62=0,"",Asset!T62))</f>
        <v>12.49</v>
      </c>
      <c r="T53" s="256">
        <f>IF(ISERROR(Asset!U62),"",IF(Asset!U62=0,"",Asset!U62))</f>
        <v>12.49</v>
      </c>
      <c r="U53" s="256">
        <f>IF(ISERROR(Asset!V62),"",IF(Asset!V62=0,"",Asset!V62))</f>
        <v>12.49</v>
      </c>
      <c r="V53" s="637"/>
    </row>
    <row r="54" spans="1:22" s="278" customFormat="1" ht="15" x14ac:dyDescent="0.25">
      <c r="A54" s="285" t="s">
        <v>945</v>
      </c>
      <c r="B54" s="281">
        <f>Asset!C64-Liab!C88</f>
        <v>7.0000000000000007E-2</v>
      </c>
      <c r="C54" s="281">
        <f>Asset!D64-Liab!D88</f>
        <v>6.9999999999999993E-2</v>
      </c>
      <c r="D54" s="281">
        <f>Asset!E64-Liab!E88</f>
        <v>3.9899999999999998</v>
      </c>
      <c r="E54" s="281">
        <f>Asset!F64-Liab!F88</f>
        <v>12.41</v>
      </c>
      <c r="F54" s="281">
        <f>Asset!G64-Liab!G88</f>
        <v>20.05</v>
      </c>
      <c r="G54" s="281">
        <f>Asset!H64-Liab!H88</f>
        <v>17.57</v>
      </c>
      <c r="H54" s="281">
        <f>Asset!I64-Liab!I88</f>
        <v>15.41</v>
      </c>
      <c r="I54" s="281">
        <f>Asset!J64-Liab!J88</f>
        <v>13.530000000000001</v>
      </c>
      <c r="J54" s="281">
        <f>Asset!K64-Liab!K88</f>
        <v>11.89</v>
      </c>
      <c r="K54" s="281">
        <f>Asset!L64-Liab!L88</f>
        <v>10.46</v>
      </c>
      <c r="L54" s="281">
        <f>Asset!M64-Liab!M88</f>
        <v>9.2200000000000006</v>
      </c>
      <c r="M54" s="281">
        <f>Asset!N64-Liab!N88</f>
        <v>9.2200000000000006</v>
      </c>
      <c r="N54" s="281">
        <f>Asset!O64-Liab!O88</f>
        <v>9.2200000000000006</v>
      </c>
      <c r="O54" s="281">
        <f>Asset!P64-Liab!P88</f>
        <v>9.2200000000000006</v>
      </c>
      <c r="P54" s="281">
        <f>Asset!Q64-Liab!Q88</f>
        <v>-12.49</v>
      </c>
      <c r="Q54" s="281">
        <f>Asset!R64-Liab!R88</f>
        <v>-12.49</v>
      </c>
      <c r="R54" s="281">
        <f>Asset!S64-Liab!S88</f>
        <v>-12.49</v>
      </c>
      <c r="S54" s="281">
        <f>Asset!T64-Liab!T88</f>
        <v>-12.49</v>
      </c>
      <c r="T54" s="281">
        <f>Asset!U64-Liab!U88</f>
        <v>-12.49</v>
      </c>
      <c r="U54" s="281">
        <f>Asset!V64-Liab!V88</f>
        <v>-12.49</v>
      </c>
      <c r="V54" s="639"/>
    </row>
    <row r="55" spans="1:22" x14ac:dyDescent="0.2">
      <c r="A55" s="287" t="s">
        <v>384</v>
      </c>
      <c r="B55" s="256" t="str">
        <f>IF(ISERROR(Asset!C70),"",IF(Asset!C70=0,"",Asset!C70))</f>
        <v/>
      </c>
      <c r="C55" s="256" t="str">
        <f>IF(ISERROR(Asset!D70),"",IF(Asset!D70=0,"",Asset!D70))</f>
        <v/>
      </c>
      <c r="D55" s="256" t="str">
        <f>IF(ISERROR(Asset!E70),"",IF(Asset!E70=0,"",Asset!E70))</f>
        <v/>
      </c>
      <c r="E55" s="256" t="str">
        <f>IF(ISERROR(Asset!F70),"",IF(Asset!F70=0,"",Asset!F70))</f>
        <v/>
      </c>
      <c r="F55" s="256" t="str">
        <f>IF(ISERROR(Asset!G70),"",IF(Asset!G70=0,"",Asset!G70))</f>
        <v/>
      </c>
      <c r="G55" s="256" t="str">
        <f>IF(ISERROR(Asset!H70),"",IF(Asset!H70=0,"",Asset!H70))</f>
        <v/>
      </c>
      <c r="H55" s="256" t="str">
        <f>IF(ISERROR(Asset!I70),"",IF(Asset!I70=0,"",Asset!I70))</f>
        <v/>
      </c>
      <c r="I55" s="256" t="str">
        <f>IF(ISERROR(Asset!J70),"",IF(Asset!J70=0,"",Asset!J70))</f>
        <v/>
      </c>
      <c r="J55" s="256" t="str">
        <f>IF(ISERROR(Asset!K70),"",IF(Asset!K70=0,"",Asset!K70))</f>
        <v/>
      </c>
      <c r="K55" s="256" t="str">
        <f>IF(ISERROR(Asset!L70),"",IF(Asset!L70=0,"",Asset!L70))</f>
        <v/>
      </c>
      <c r="L55" s="256" t="str">
        <f>IF(ISERROR(Asset!M70),"",IF(Asset!M70=0,"",Asset!M70))</f>
        <v/>
      </c>
      <c r="M55" s="256" t="str">
        <f>IF(ISERROR(Asset!N70),"",IF(Asset!N70=0,"",Asset!N70))</f>
        <v/>
      </c>
      <c r="N55" s="256" t="str">
        <f>IF(ISERROR(Asset!O70),"",IF(Asset!O70=0,"",Asset!O70))</f>
        <v/>
      </c>
      <c r="O55" s="256" t="str">
        <f>IF(ISERROR(Asset!P70),"",IF(Asset!P70=0,"",Asset!P70))</f>
        <v/>
      </c>
      <c r="P55" s="256" t="str">
        <f>IF(ISERROR(Asset!Q70),"",IF(Asset!Q70=0,"",Asset!Q70))</f>
        <v/>
      </c>
      <c r="Q55" s="256" t="str">
        <f>IF(ISERROR(Asset!R70),"",IF(Asset!R70=0,"",Asset!R70))</f>
        <v/>
      </c>
      <c r="R55" s="256" t="str">
        <f>IF(ISERROR(Asset!S70),"",IF(Asset!S70=0,"",Asset!S70))</f>
        <v/>
      </c>
      <c r="S55" s="256" t="str">
        <f>IF(ISERROR(Asset!T70),"",IF(Asset!T70=0,"",Asset!T70))</f>
        <v/>
      </c>
      <c r="T55" s="256" t="str">
        <f>IF(ISERROR(Asset!U70),"",IF(Asset!U70=0,"",Asset!U70))</f>
        <v/>
      </c>
      <c r="U55" s="256" t="str">
        <f>IF(ISERROR(Asset!V70),"",IF(Asset!V70=0,"",Asset!V70))</f>
        <v/>
      </c>
      <c r="V55" s="637"/>
    </row>
    <row r="56" spans="1:22" x14ac:dyDescent="0.2">
      <c r="A56" s="287" t="s">
        <v>860</v>
      </c>
      <c r="B56" s="256" t="str">
        <f>IF(ISERROR(Asset!C71),"",IF(Asset!C71=0,"",Asset!C71))</f>
        <v/>
      </c>
      <c r="C56" s="256" t="str">
        <f>IF(ISERROR(Asset!D71),"",IF(Asset!D71=0,"",Asset!D71))</f>
        <v/>
      </c>
      <c r="D56" s="256" t="str">
        <f>IF(ISERROR(Asset!E71),"",IF(Asset!E71=0,"",Asset!E71))</f>
        <v/>
      </c>
      <c r="E56" s="256" t="str">
        <f>IF(ISERROR(Asset!F71),"",IF(Asset!F71=0,"",Asset!F71))</f>
        <v/>
      </c>
      <c r="F56" s="256" t="str">
        <f>IF(ISERROR(Asset!G71),"",IF(Asset!G71=0,"",Asset!G71))</f>
        <v/>
      </c>
      <c r="G56" s="256" t="str">
        <f>IF(ISERROR(Asset!H71),"",IF(Asset!H71=0,"",Asset!H71))</f>
        <v/>
      </c>
      <c r="H56" s="256" t="str">
        <f>IF(ISERROR(Asset!I71),"",IF(Asset!I71=0,"",Asset!I71))</f>
        <v/>
      </c>
      <c r="I56" s="256" t="str">
        <f>IF(ISERROR(Asset!J71),"",IF(Asset!J71=0,"",Asset!J71))</f>
        <v/>
      </c>
      <c r="J56" s="256" t="str">
        <f>IF(ISERROR(Asset!K71),"",IF(Asset!K71=0,"",Asset!K71))</f>
        <v/>
      </c>
      <c r="K56" s="256" t="str">
        <f>IF(ISERROR(Asset!L71),"",IF(Asset!L71=0,"",Asset!L71))</f>
        <v/>
      </c>
      <c r="L56" s="256" t="str">
        <f>IF(ISERROR(Asset!M71),"",IF(Asset!M71=0,"",Asset!M71))</f>
        <v/>
      </c>
      <c r="M56" s="256" t="str">
        <f>IF(ISERROR(Asset!N71),"",IF(Asset!N71=0,"",Asset!N71))</f>
        <v/>
      </c>
      <c r="N56" s="256" t="str">
        <f>IF(ISERROR(Asset!O71),"",IF(Asset!O71=0,"",Asset!O71))</f>
        <v/>
      </c>
      <c r="O56" s="256" t="str">
        <f>IF(ISERROR(Asset!P71),"",IF(Asset!P71=0,"",Asset!P71))</f>
        <v/>
      </c>
      <c r="P56" s="256" t="str">
        <f>IF(ISERROR(Asset!Q71),"",IF(Asset!Q71=0,"",Asset!Q71))</f>
        <v/>
      </c>
      <c r="Q56" s="256" t="str">
        <f>IF(ISERROR(Asset!R71),"",IF(Asset!R71=0,"",Asset!R71))</f>
        <v/>
      </c>
      <c r="R56" s="256" t="str">
        <f>IF(ISERROR(Asset!S71),"",IF(Asset!S71=0,"",Asset!S71))</f>
        <v/>
      </c>
      <c r="S56" s="256" t="str">
        <f>IF(ISERROR(Asset!T71),"",IF(Asset!T71=0,"",Asset!T71))</f>
        <v/>
      </c>
      <c r="T56" s="256" t="str">
        <f>IF(ISERROR(Asset!U71),"",IF(Asset!U71=0,"",Asset!U71))</f>
        <v/>
      </c>
      <c r="U56" s="256" t="str">
        <f>IF(ISERROR(Asset!V71),"",IF(Asset!V71=0,"",Asset!V71))</f>
        <v/>
      </c>
      <c r="V56" s="637"/>
    </row>
    <row r="57" spans="1:22" x14ac:dyDescent="0.2">
      <c r="A57" s="287" t="s">
        <v>385</v>
      </c>
      <c r="B57" s="256" t="str">
        <f>IF(ISERROR(Asset!C75+Asset!C76),"",IF(Asset!C75+Asset!C76=0,"",Asset!C75+Asset!C76))</f>
        <v/>
      </c>
      <c r="C57" s="256" t="str">
        <f>IF(ISERROR(Asset!D75+Asset!D76),"",IF(Asset!D75+Asset!D76=0,"",Asset!D75+Asset!D76))</f>
        <v/>
      </c>
      <c r="D57" s="256" t="str">
        <f>IF(ISERROR(Asset!E75+Asset!E76),"",IF(Asset!E75+Asset!E76=0,"",Asset!E75+Asset!E76))</f>
        <v/>
      </c>
      <c r="E57" s="256" t="str">
        <f>IF(ISERROR(Asset!F75+Asset!F76),"",IF(Asset!F75+Asset!F76=0,"",Asset!F75+Asset!F76))</f>
        <v/>
      </c>
      <c r="F57" s="256" t="str">
        <f>IF(ISERROR(Asset!G75+Asset!G76),"",IF(Asset!G75+Asset!G76=0,"",Asset!G75+Asset!G76))</f>
        <v/>
      </c>
      <c r="G57" s="256" t="str">
        <f>IF(ISERROR(Asset!H75+Asset!H76),"",IF(Asset!H75+Asset!H76=0,"",Asset!H75+Asset!H76))</f>
        <v/>
      </c>
      <c r="H57" s="256" t="str">
        <f>IF(ISERROR(Asset!I75+Asset!I76),"",IF(Asset!I75+Asset!I76=0,"",Asset!I75+Asset!I76))</f>
        <v/>
      </c>
      <c r="I57" s="256" t="str">
        <f>IF(ISERROR(Asset!J75+Asset!J76),"",IF(Asset!J75+Asset!J76=0,"",Asset!J75+Asset!J76))</f>
        <v/>
      </c>
      <c r="J57" s="256" t="str">
        <f>IF(ISERROR(Asset!K75+Asset!K76),"",IF(Asset!K75+Asset!K76=0,"",Asset!K75+Asset!K76))</f>
        <v/>
      </c>
      <c r="K57" s="256" t="str">
        <f>IF(ISERROR(Asset!L75+Asset!L76),"",IF(Asset!L75+Asset!L76=0,"",Asset!L75+Asset!L76))</f>
        <v/>
      </c>
      <c r="L57" s="256" t="str">
        <f>IF(ISERROR(Asset!M75+Asset!M76),"",IF(Asset!M75+Asset!M76=0,"",Asset!M75+Asset!M76))</f>
        <v/>
      </c>
      <c r="M57" s="256" t="str">
        <f>IF(ISERROR(Asset!N75+Asset!N76),"",IF(Asset!N75+Asset!N76=0,"",Asset!N75+Asset!N76))</f>
        <v/>
      </c>
      <c r="N57" s="256" t="str">
        <f>IF(ISERROR(Asset!O75+Asset!O76),"",IF(Asset!O75+Asset!O76=0,"",Asset!O75+Asset!O76))</f>
        <v/>
      </c>
      <c r="O57" s="256" t="str">
        <f>IF(ISERROR(Asset!P75+Asset!P76),"",IF(Asset!P75+Asset!P76=0,"",Asset!P75+Asset!P76))</f>
        <v/>
      </c>
      <c r="P57" s="256" t="str">
        <f>IF(ISERROR(Asset!Q75+Asset!Q76),"",IF(Asset!Q75+Asset!Q76=0,"",Asset!Q75+Asset!Q76))</f>
        <v/>
      </c>
      <c r="Q57" s="256" t="str">
        <f>IF(ISERROR(Asset!R75+Asset!R76),"",IF(Asset!R75+Asset!R76=0,"",Asset!R75+Asset!R76))</f>
        <v/>
      </c>
      <c r="R57" s="256" t="str">
        <f>IF(ISERROR(Asset!S75+Asset!S76),"",IF(Asset!S75+Asset!S76=0,"",Asset!S75+Asset!S76))</f>
        <v/>
      </c>
      <c r="S57" s="256" t="str">
        <f>IF(ISERROR(Asset!T75+Asset!T76),"",IF(Asset!T75+Asset!T76=0,"",Asset!T75+Asset!T76))</f>
        <v/>
      </c>
      <c r="T57" s="256" t="str">
        <f>IF(ISERROR(Asset!U75+Asset!U76),"",IF(Asset!U75+Asset!U76=0,"",Asset!U75+Asset!U76))</f>
        <v/>
      </c>
      <c r="U57" s="256" t="str">
        <f>IF(ISERROR(Asset!V75+Asset!V76),"",IF(Asset!V75+Asset!V76=0,"",Asset!V75+Asset!V76))</f>
        <v/>
      </c>
      <c r="V57" s="637"/>
    </row>
    <row r="58" spans="1:22" x14ac:dyDescent="0.2">
      <c r="A58" s="287" t="s">
        <v>866</v>
      </c>
      <c r="B58" s="256" t="str">
        <f>IF(ISERROR(Asset!C73+SUM(Asset!C77:C84)),"",IF(Asset!C73+SUM(Asset!C77:C84)=0,"",Asset!C73+SUM(Asset!C77:C84)))</f>
        <v/>
      </c>
      <c r="C58" s="256" t="str">
        <f>IF(ISERROR(Asset!D73+SUM(Asset!D77:D84)),"",IF(Asset!D73+SUM(Asset!D77:D84)=0,"",Asset!D73+SUM(Asset!D77:D84)))</f>
        <v/>
      </c>
      <c r="D58" s="256">
        <f>IF(ISERROR(Asset!E73+SUM(Asset!E77:E84)),"",IF(Asset!E73+SUM(Asset!E77:E84)=0,"",Asset!E73+SUM(Asset!E77:E84)))</f>
        <v>0.17</v>
      </c>
      <c r="E58" s="256">
        <f>IF(ISERROR(Asset!F73+SUM(Asset!F77:F84)),"",IF(Asset!F73+SUM(Asset!F77:F84)=0,"",Asset!F73+SUM(Asset!F77:F84)))</f>
        <v>1.69</v>
      </c>
      <c r="F58" s="256">
        <f>IF(ISERROR(Asset!G73+SUM(Asset!G77:G84)),"",IF(Asset!G73+SUM(Asset!G77:G84)=0,"",Asset!G73+SUM(Asset!G77:G84)))</f>
        <v>0.32</v>
      </c>
      <c r="G58" s="256">
        <f>IF(ISERROR(Asset!H73+SUM(Asset!H77:H84)),"",IF(Asset!H73+SUM(Asset!H77:H84)=0,"",Asset!H73+SUM(Asset!H77:H84)))</f>
        <v>0.32</v>
      </c>
      <c r="H58" s="256">
        <f>IF(ISERROR(Asset!I73+SUM(Asset!I77:I84)),"",IF(Asset!I73+SUM(Asset!I77:I84)=0,"",Asset!I73+SUM(Asset!I77:I84)))</f>
        <v>0.32</v>
      </c>
      <c r="I58" s="256">
        <f>IF(ISERROR(Asset!J73+SUM(Asset!J77:J84)),"",IF(Asset!J73+SUM(Asset!J77:J84)=0,"",Asset!J73+SUM(Asset!J77:J84)))</f>
        <v>0.32</v>
      </c>
      <c r="J58" s="256">
        <f>IF(ISERROR(Asset!K73+SUM(Asset!K77:K84)),"",IF(Asset!K73+SUM(Asset!K77:K84)=0,"",Asset!K73+SUM(Asset!K77:K84)))</f>
        <v>0.32</v>
      </c>
      <c r="K58" s="256">
        <f>IF(ISERROR(Asset!L73+SUM(Asset!L77:L84)),"",IF(Asset!L73+SUM(Asset!L77:L84)=0,"",Asset!L73+SUM(Asset!L77:L84)))</f>
        <v>0.32</v>
      </c>
      <c r="L58" s="256">
        <f>IF(ISERROR(Asset!M73+SUM(Asset!M77:M84)),"",IF(Asset!M73+SUM(Asset!M77:M84)=0,"",Asset!M73+SUM(Asset!M77:M84)))</f>
        <v>0.32</v>
      </c>
      <c r="M58" s="256" t="str">
        <f>IF(ISERROR(Asset!N73+SUM(Asset!N77:N84)),"",IF(Asset!N73+SUM(Asset!N77:N84)=0,"",Asset!N73+SUM(Asset!N77:N84)))</f>
        <v/>
      </c>
      <c r="N58" s="256" t="str">
        <f>IF(ISERROR(Asset!O73+SUM(Asset!O77:O84)),"",IF(Asset!O73+SUM(Asset!O77:O84)=0,"",Asset!O73+SUM(Asset!O77:O84)))</f>
        <v/>
      </c>
      <c r="O58" s="256" t="str">
        <f>IF(ISERROR(Asset!P73+SUM(Asset!P77:P84)),"",IF(Asset!P73+SUM(Asset!P77:P84)=0,"",Asset!P73+SUM(Asset!P77:P84)))</f>
        <v/>
      </c>
      <c r="P58" s="256" t="str">
        <f>IF(ISERROR(Asset!Q73+SUM(Asset!Q77:Q84)),"",IF(Asset!Q73+SUM(Asset!Q77:Q84)=0,"",Asset!Q73+SUM(Asset!Q77:Q84)))</f>
        <v/>
      </c>
      <c r="Q58" s="256" t="str">
        <f>IF(ISERROR(Asset!R73+SUM(Asset!R77:R84)),"",IF(Asset!R73+SUM(Asset!R77:R84)=0,"",Asset!R73+SUM(Asset!R77:R84)))</f>
        <v/>
      </c>
      <c r="R58" s="256" t="str">
        <f>IF(ISERROR(Asset!S73+SUM(Asset!S77:S84)),"",IF(Asset!S73+SUM(Asset!S77:S84)=0,"",Asset!S73+SUM(Asset!S77:S84)))</f>
        <v/>
      </c>
      <c r="S58" s="256" t="str">
        <f>IF(ISERROR(Asset!T73+SUM(Asset!T77:T84)),"",IF(Asset!T73+SUM(Asset!T77:T84)=0,"",Asset!T73+SUM(Asset!T77:T84)))</f>
        <v/>
      </c>
      <c r="T58" s="256" t="str">
        <f>IF(ISERROR(Asset!U73+SUM(Asset!U77:U84)),"",IF(Asset!U73+SUM(Asset!U77:U84)=0,"",Asset!U73+SUM(Asset!U77:U84)))</f>
        <v/>
      </c>
      <c r="U58" s="256" t="str">
        <f>IF(ISERROR(Asset!V73+SUM(Asset!V77:V84)),"",IF(Asset!V73+SUM(Asset!V77:V84)=0,"",Asset!V73+SUM(Asset!V77:V84)))</f>
        <v/>
      </c>
      <c r="V58" s="637"/>
    </row>
    <row r="59" spans="1:22" s="278" customFormat="1" ht="15" x14ac:dyDescent="0.25">
      <c r="A59" s="285" t="s">
        <v>861</v>
      </c>
      <c r="B59" s="281">
        <f>SUM(B55:B58)</f>
        <v>0</v>
      </c>
      <c r="C59" s="281">
        <f t="shared" ref="C59:U59" si="15">SUM(C55:C58)</f>
        <v>0</v>
      </c>
      <c r="D59" s="281">
        <f t="shared" si="15"/>
        <v>0.17</v>
      </c>
      <c r="E59" s="281">
        <f t="shared" si="15"/>
        <v>1.69</v>
      </c>
      <c r="F59" s="281">
        <f t="shared" si="15"/>
        <v>0.32</v>
      </c>
      <c r="G59" s="281">
        <f t="shared" si="15"/>
        <v>0.32</v>
      </c>
      <c r="H59" s="281">
        <f t="shared" si="15"/>
        <v>0.32</v>
      </c>
      <c r="I59" s="281">
        <f t="shared" si="15"/>
        <v>0.32</v>
      </c>
      <c r="J59" s="281">
        <f t="shared" si="15"/>
        <v>0.32</v>
      </c>
      <c r="K59" s="281">
        <f t="shared" si="15"/>
        <v>0.32</v>
      </c>
      <c r="L59" s="281">
        <f t="shared" si="15"/>
        <v>0.32</v>
      </c>
      <c r="M59" s="281">
        <f t="shared" si="15"/>
        <v>0</v>
      </c>
      <c r="N59" s="281">
        <f t="shared" si="15"/>
        <v>0</v>
      </c>
      <c r="O59" s="281">
        <f t="shared" si="15"/>
        <v>0</v>
      </c>
      <c r="P59" s="281">
        <f t="shared" si="15"/>
        <v>0</v>
      </c>
      <c r="Q59" s="281">
        <f t="shared" si="15"/>
        <v>0</v>
      </c>
      <c r="R59" s="281">
        <f t="shared" si="15"/>
        <v>0</v>
      </c>
      <c r="S59" s="281">
        <f t="shared" si="15"/>
        <v>0</v>
      </c>
      <c r="T59" s="281">
        <f t="shared" si="15"/>
        <v>0</v>
      </c>
      <c r="U59" s="281">
        <f t="shared" si="15"/>
        <v>0</v>
      </c>
      <c r="V59" s="639"/>
    </row>
    <row r="60" spans="1:22" s="278" customFormat="1" ht="15" x14ac:dyDescent="0.25">
      <c r="A60" s="285" t="s">
        <v>673</v>
      </c>
      <c r="B60" s="281">
        <f>B50+B54+B59</f>
        <v>0.28000000000000003</v>
      </c>
      <c r="C60" s="281">
        <f t="shared" ref="C60:U60" si="16">C50+C54+C59</f>
        <v>0.44000000000000006</v>
      </c>
      <c r="D60" s="281">
        <f t="shared" si="16"/>
        <v>4.8499999999999996</v>
      </c>
      <c r="E60" s="281">
        <f t="shared" si="16"/>
        <v>15.17</v>
      </c>
      <c r="F60" s="281">
        <f t="shared" si="16"/>
        <v>26.73</v>
      </c>
      <c r="G60" s="281">
        <f t="shared" si="16"/>
        <v>27.434913125000001</v>
      </c>
      <c r="H60" s="281">
        <f t="shared" si="16"/>
        <v>27.82309575</v>
      </c>
      <c r="I60" s="281">
        <f t="shared" si="16"/>
        <v>27.425555187500002</v>
      </c>
      <c r="J60" s="281">
        <f t="shared" si="16"/>
        <v>27.123204124999997</v>
      </c>
      <c r="K60" s="281">
        <f t="shared" si="16"/>
        <v>26.783058750000002</v>
      </c>
      <c r="L60" s="281">
        <f t="shared" si="16"/>
        <v>26.239407812500005</v>
      </c>
      <c r="M60" s="281">
        <f t="shared" si="16"/>
        <v>9.2200000000000006</v>
      </c>
      <c r="N60" s="281">
        <f t="shared" si="16"/>
        <v>9.2200000000000006</v>
      </c>
      <c r="O60" s="281">
        <f t="shared" si="16"/>
        <v>9.2200000000000006</v>
      </c>
      <c r="P60" s="281">
        <f t="shared" si="16"/>
        <v>-12.49</v>
      </c>
      <c r="Q60" s="281">
        <f t="shared" si="16"/>
        <v>-12.49</v>
      </c>
      <c r="R60" s="281">
        <f t="shared" si="16"/>
        <v>-12.49</v>
      </c>
      <c r="S60" s="281">
        <f t="shared" si="16"/>
        <v>-12.49</v>
      </c>
      <c r="T60" s="281">
        <f t="shared" si="16"/>
        <v>-12.49</v>
      </c>
      <c r="U60" s="281">
        <f t="shared" si="16"/>
        <v>-12.49</v>
      </c>
      <c r="V60" s="639"/>
    </row>
    <row r="61" spans="1:22" x14ac:dyDescent="0.2">
      <c r="A61" s="287" t="s">
        <v>386</v>
      </c>
      <c r="B61" s="256" t="str">
        <f>IF(ISERROR(Asset!C85),"",IF(Asset!C85=0,"",Asset!C85))</f>
        <v/>
      </c>
      <c r="C61" s="256" t="str">
        <f>IF(ISERROR(Asset!D85),"",IF(Asset!D85=0,"",Asset!D85))</f>
        <v/>
      </c>
      <c r="D61" s="256" t="str">
        <f>IF(ISERROR(Asset!E85),"",IF(Asset!E85=0,"",Asset!E85))</f>
        <v/>
      </c>
      <c r="E61" s="256" t="str">
        <f>IF(ISERROR(Asset!F85),"",IF(Asset!F85=0,"",Asset!F85))</f>
        <v/>
      </c>
      <c r="F61" s="256" t="str">
        <f>IF(ISERROR(Asset!G85),"",IF(Asset!G85=0,"",Asset!G85))</f>
        <v/>
      </c>
      <c r="G61" s="256" t="str">
        <f>IF(ISERROR(Asset!H85),"",IF(Asset!H85=0,"",Asset!H85))</f>
        <v/>
      </c>
      <c r="H61" s="256" t="str">
        <f>IF(ISERROR(Asset!I85),"",IF(Asset!I85=0,"",Asset!I85))</f>
        <v/>
      </c>
      <c r="I61" s="256" t="str">
        <f>IF(ISERROR(Asset!J85),"",IF(Asset!J85=0,"",Asset!J85))</f>
        <v/>
      </c>
      <c r="J61" s="256" t="str">
        <f>IF(ISERROR(Asset!K85),"",IF(Asset!K85=0,"",Asset!K85))</f>
        <v/>
      </c>
      <c r="K61" s="256" t="str">
        <f>IF(ISERROR(Asset!L85),"",IF(Asset!L85=0,"",Asset!L85))</f>
        <v/>
      </c>
      <c r="L61" s="256" t="str">
        <f>IF(ISERROR(Asset!M85),"",IF(Asset!M85=0,"",Asset!M85))</f>
        <v/>
      </c>
      <c r="M61" s="256" t="str">
        <f>IF(ISERROR(Asset!N85),"",IF(Asset!N85=0,"",Asset!N85))</f>
        <v/>
      </c>
      <c r="N61" s="256" t="str">
        <f>IF(ISERROR(Asset!O85),"",IF(Asset!O85=0,"",Asset!O85))</f>
        <v/>
      </c>
      <c r="O61" s="256" t="str">
        <f>IF(ISERROR(Asset!P85),"",IF(Asset!P85=0,"",Asset!P85))</f>
        <v/>
      </c>
      <c r="P61" s="256" t="str">
        <f>IF(ISERROR(Asset!Q85),"",IF(Asset!Q85=0,"",Asset!Q85))</f>
        <v/>
      </c>
      <c r="Q61" s="256" t="str">
        <f>IF(ISERROR(Asset!R85),"",IF(Asset!R85=0,"",Asset!R85))</f>
        <v/>
      </c>
      <c r="R61" s="256" t="str">
        <f>IF(ISERROR(Asset!S85),"",IF(Asset!S85=0,"",Asset!S85))</f>
        <v/>
      </c>
      <c r="S61" s="256" t="str">
        <f>IF(ISERROR(Asset!T85),"",IF(Asset!T85=0,"",Asset!T85))</f>
        <v/>
      </c>
      <c r="T61" s="256" t="str">
        <f>IF(ISERROR(Asset!U85),"",IF(Asset!U85=0,"",Asset!U85))</f>
        <v/>
      </c>
      <c r="U61" s="256" t="str">
        <f>IF(ISERROR(Asset!V85),"",IF(Asset!V85=0,"",Asset!V85))</f>
        <v/>
      </c>
      <c r="V61" s="637"/>
    </row>
    <row r="62" spans="1:22" x14ac:dyDescent="0.2">
      <c r="A62" s="287" t="s">
        <v>674</v>
      </c>
      <c r="B62" s="256" t="str">
        <f>IF(ISERROR(Asset!C89),"",IF(Asset!C89=0,"",Asset!C89))</f>
        <v/>
      </c>
      <c r="C62" s="256" t="str">
        <f>IF(ISERROR(Asset!D89),"",IF(Asset!D89=0,"",Asset!D89))</f>
        <v/>
      </c>
      <c r="D62" s="256" t="str">
        <f>IF(ISERROR(Asset!E89),"",IF(Asset!E89=0,"",Asset!E89))</f>
        <v/>
      </c>
      <c r="E62" s="256">
        <f>IF(ISERROR(Asset!F89),"",IF(Asset!F89=0,"",Asset!F89))</f>
        <v>0.08</v>
      </c>
      <c r="F62" s="256">
        <f>IF(ISERROR(Asset!G89),"",IF(Asset!G89=0,"",Asset!G89))</f>
        <v>0.08</v>
      </c>
      <c r="G62" s="256">
        <f>IF(ISERROR(Asset!H89),"",IF(Asset!H89=0,"",Asset!H89))</f>
        <v>0.06</v>
      </c>
      <c r="H62" s="256">
        <f>IF(ISERROR(Asset!I89),"",IF(Asset!I89=0,"",Asset!I89))</f>
        <v>0.04</v>
      </c>
      <c r="I62" s="256">
        <f>IF(ISERROR(Asset!J89),"",IF(Asset!J89=0,"",Asset!J89))</f>
        <v>0.02</v>
      </c>
      <c r="J62" s="256" t="str">
        <f>IF(ISERROR(Asset!K89),"",IF(Asset!K89=0,"",Asset!K89))</f>
        <v/>
      </c>
      <c r="K62" s="256" t="str">
        <f>IF(ISERROR(Asset!L89),"",IF(Asset!L89=0,"",Asset!L89))</f>
        <v/>
      </c>
      <c r="L62" s="256" t="str">
        <f>IF(ISERROR(Asset!M89),"",IF(Asset!M89=0,"",Asset!M89))</f>
        <v/>
      </c>
      <c r="M62" s="256" t="str">
        <f>IF(ISERROR(Asset!N89),"",IF(Asset!N89=0,"",Asset!N89))</f>
        <v/>
      </c>
      <c r="N62" s="256" t="str">
        <f>IF(ISERROR(Asset!O89),"",IF(Asset!O89=0,"",Asset!O89))</f>
        <v/>
      </c>
      <c r="O62" s="256" t="str">
        <f>IF(ISERROR(Asset!P89),"",IF(Asset!P89=0,"",Asset!P89))</f>
        <v/>
      </c>
      <c r="P62" s="256" t="str">
        <f>IF(ISERROR(Asset!Q89),"",IF(Asset!Q89=0,"",Asset!Q89))</f>
        <v/>
      </c>
      <c r="Q62" s="256" t="str">
        <f>IF(ISERROR(Asset!R89),"",IF(Asset!R89=0,"",Asset!R89))</f>
        <v/>
      </c>
      <c r="R62" s="256" t="str">
        <f>IF(ISERROR(Asset!S89),"",IF(Asset!S89=0,"",Asset!S89))</f>
        <v/>
      </c>
      <c r="S62" s="256" t="str">
        <f>IF(ISERROR(Asset!T89),"",IF(Asset!T89=0,"",Asset!T89))</f>
        <v/>
      </c>
      <c r="T62" s="256" t="str">
        <f>IF(ISERROR(Asset!U89),"",IF(Asset!U89=0,"",Asset!U89))</f>
        <v/>
      </c>
      <c r="U62" s="256" t="str">
        <f>IF(ISERROR(Asset!V89),"",IF(Asset!V89=0,"",Asset!V89))</f>
        <v/>
      </c>
      <c r="V62" s="637"/>
    </row>
    <row r="63" spans="1:22" s="278" customFormat="1" ht="15" x14ac:dyDescent="0.25">
      <c r="A63" s="285" t="s">
        <v>675</v>
      </c>
      <c r="B63" s="281">
        <f>SUM(B61:B62)</f>
        <v>0</v>
      </c>
      <c r="C63" s="281">
        <f t="shared" ref="C63:U63" si="17">SUM(C61:C62)</f>
        <v>0</v>
      </c>
      <c r="D63" s="281">
        <f t="shared" si="17"/>
        <v>0</v>
      </c>
      <c r="E63" s="281">
        <f t="shared" si="17"/>
        <v>0.08</v>
      </c>
      <c r="F63" s="281">
        <f t="shared" si="17"/>
        <v>0.08</v>
      </c>
      <c r="G63" s="281">
        <f t="shared" si="17"/>
        <v>0.06</v>
      </c>
      <c r="H63" s="281">
        <f t="shared" si="17"/>
        <v>0.04</v>
      </c>
      <c r="I63" s="281">
        <f t="shared" si="17"/>
        <v>0.02</v>
      </c>
      <c r="J63" s="281">
        <f t="shared" si="17"/>
        <v>0</v>
      </c>
      <c r="K63" s="281">
        <f t="shared" si="17"/>
        <v>0</v>
      </c>
      <c r="L63" s="281">
        <f t="shared" si="17"/>
        <v>0</v>
      </c>
      <c r="M63" s="281">
        <f t="shared" si="17"/>
        <v>0</v>
      </c>
      <c r="N63" s="281">
        <f t="shared" si="17"/>
        <v>0</v>
      </c>
      <c r="O63" s="281">
        <f t="shared" si="17"/>
        <v>0</v>
      </c>
      <c r="P63" s="281">
        <f t="shared" si="17"/>
        <v>0</v>
      </c>
      <c r="Q63" s="281">
        <f t="shared" si="17"/>
        <v>0</v>
      </c>
      <c r="R63" s="281">
        <f t="shared" si="17"/>
        <v>0</v>
      </c>
      <c r="S63" s="281">
        <f t="shared" si="17"/>
        <v>0</v>
      </c>
      <c r="T63" s="281">
        <f t="shared" si="17"/>
        <v>0</v>
      </c>
      <c r="U63" s="281">
        <f t="shared" si="17"/>
        <v>0</v>
      </c>
      <c r="V63" s="639"/>
    </row>
    <row r="64" spans="1:22" s="278" customFormat="1" ht="15" x14ac:dyDescent="0.25">
      <c r="A64" s="285" t="s">
        <v>676</v>
      </c>
      <c r="B64" s="281">
        <f>B60+B63</f>
        <v>0.28000000000000003</v>
      </c>
      <c r="C64" s="281">
        <f t="shared" ref="C64:U64" si="18">C60+C63</f>
        <v>0.44000000000000006</v>
      </c>
      <c r="D64" s="281">
        <f t="shared" si="18"/>
        <v>4.8499999999999996</v>
      </c>
      <c r="E64" s="281">
        <f t="shared" si="18"/>
        <v>15.25</v>
      </c>
      <c r="F64" s="281">
        <f t="shared" si="18"/>
        <v>26.81</v>
      </c>
      <c r="G64" s="281">
        <f t="shared" si="18"/>
        <v>27.494913125</v>
      </c>
      <c r="H64" s="281">
        <f t="shared" si="18"/>
        <v>27.863095749999999</v>
      </c>
      <c r="I64" s="281">
        <f t="shared" si="18"/>
        <v>27.445555187500002</v>
      </c>
      <c r="J64" s="281">
        <f t="shared" si="18"/>
        <v>27.123204124999997</v>
      </c>
      <c r="K64" s="281">
        <f t="shared" si="18"/>
        <v>26.783058750000002</v>
      </c>
      <c r="L64" s="281">
        <f t="shared" si="18"/>
        <v>26.239407812500005</v>
      </c>
      <c r="M64" s="281">
        <f t="shared" si="18"/>
        <v>9.2200000000000006</v>
      </c>
      <c r="N64" s="281">
        <f t="shared" si="18"/>
        <v>9.2200000000000006</v>
      </c>
      <c r="O64" s="281">
        <f t="shared" si="18"/>
        <v>9.2200000000000006</v>
      </c>
      <c r="P64" s="281">
        <f t="shared" si="18"/>
        <v>-12.49</v>
      </c>
      <c r="Q64" s="281">
        <f t="shared" si="18"/>
        <v>-12.49</v>
      </c>
      <c r="R64" s="281">
        <f t="shared" si="18"/>
        <v>-12.49</v>
      </c>
      <c r="S64" s="281">
        <f t="shared" si="18"/>
        <v>-12.49</v>
      </c>
      <c r="T64" s="281">
        <f t="shared" si="18"/>
        <v>-12.49</v>
      </c>
      <c r="U64" s="281">
        <f t="shared" si="18"/>
        <v>-12.49</v>
      </c>
      <c r="V64" s="639"/>
    </row>
    <row r="65" spans="1:22" x14ac:dyDescent="0.2">
      <c r="A65" s="637"/>
      <c r="B65" s="636"/>
      <c r="C65" s="636"/>
      <c r="D65" s="636"/>
      <c r="E65" s="636"/>
      <c r="F65" s="636"/>
      <c r="G65" s="636"/>
      <c r="H65" s="636"/>
      <c r="I65" s="636"/>
      <c r="J65" s="636"/>
      <c r="K65" s="636"/>
      <c r="L65" s="636"/>
      <c r="M65" s="636"/>
      <c r="N65" s="636"/>
      <c r="O65" s="636"/>
      <c r="P65" s="636"/>
      <c r="Q65" s="636"/>
      <c r="R65" s="636"/>
      <c r="S65" s="636"/>
      <c r="T65" s="636"/>
      <c r="U65" s="636"/>
      <c r="V65" s="637"/>
    </row>
    <row r="66" spans="1:22" s="278" customFormat="1" ht="15" x14ac:dyDescent="0.25">
      <c r="A66" s="769" t="s">
        <v>1029</v>
      </c>
      <c r="B66" s="770">
        <f t="shared" ref="B66:O66" si="19">IF(ISERROR((B64-B39)),"",(B64-B39))</f>
        <v>5.5511151231257827E-17</v>
      </c>
      <c r="C66" s="770">
        <f t="shared" si="19"/>
        <v>5.5511151231257827E-17</v>
      </c>
      <c r="D66" s="770">
        <f t="shared" si="19"/>
        <v>-8.8817841970012523E-16</v>
      </c>
      <c r="E66" s="770">
        <f t="shared" si="19"/>
        <v>0</v>
      </c>
      <c r="F66" s="770">
        <f t="shared" si="19"/>
        <v>2.999999999996561E-3</v>
      </c>
      <c r="G66" s="770">
        <f t="shared" si="19"/>
        <v>-2.8118750000061254E-3</v>
      </c>
      <c r="H66" s="770">
        <f t="shared" si="19"/>
        <v>3.7182499999843799E-3</v>
      </c>
      <c r="I66" s="770">
        <f t="shared" si="19"/>
        <v>1.1711874999882355E-3</v>
      </c>
      <c r="J66" s="770">
        <f t="shared" si="19"/>
        <v>8.7537499998902035E-4</v>
      </c>
      <c r="K66" s="770">
        <f t="shared" si="19"/>
        <v>-8.1450000001126455E-4</v>
      </c>
      <c r="L66" s="770">
        <f t="shared" si="19"/>
        <v>4.4670625000087227E-3</v>
      </c>
      <c r="M66" s="770" t="str">
        <f t="shared" si="19"/>
        <v/>
      </c>
      <c r="N66" s="770" t="str">
        <f t="shared" si="19"/>
        <v/>
      </c>
      <c r="O66" s="770" t="str">
        <f t="shared" si="19"/>
        <v/>
      </c>
      <c r="P66" s="770" t="str">
        <f t="shared" ref="P66:U66" si="20">IF(ISERROR((P64-P39)),"",(P64-P39))</f>
        <v/>
      </c>
      <c r="Q66" s="770" t="str">
        <f t="shared" si="20"/>
        <v/>
      </c>
      <c r="R66" s="770" t="str">
        <f t="shared" si="20"/>
        <v/>
      </c>
      <c r="S66" s="770" t="str">
        <f t="shared" si="20"/>
        <v/>
      </c>
      <c r="T66" s="770" t="str">
        <f t="shared" si="20"/>
        <v/>
      </c>
      <c r="U66" s="770" t="str">
        <f t="shared" si="20"/>
        <v/>
      </c>
      <c r="V66" s="639"/>
    </row>
    <row r="69" spans="1:22" x14ac:dyDescent="0.2">
      <c r="B69" s="288"/>
      <c r="C69" s="288"/>
      <c r="D69" s="288"/>
      <c r="E69" s="288"/>
      <c r="F69" s="288"/>
      <c r="G69" s="288"/>
    </row>
    <row r="70" spans="1:22" x14ac:dyDescent="0.2">
      <c r="B70" s="288"/>
      <c r="C70" s="288"/>
      <c r="D70" s="288"/>
      <c r="E70" s="288"/>
      <c r="F70" s="288"/>
      <c r="G70" s="288"/>
    </row>
  </sheetData>
  <protectedRanges>
    <protectedRange sqref="B7:B9 B12" name="Range2"/>
    <protectedRange sqref="B4:B5" name="Range1"/>
  </protectedRanges>
  <phoneticPr fontId="0" type="noConversion"/>
  <pageMargins left="0.75" right="0.75" top="0.25" bottom="0.25" header="0.5" footer="0.5"/>
  <pageSetup orientation="landscape" r:id="rId1"/>
  <headerFooter alignWithMargins="0"/>
  <rowBreaks count="1" manualBreakCount="1">
    <brk id="39"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K79"/>
  <sheetViews>
    <sheetView topLeftCell="A40" zoomScaleNormal="100" workbookViewId="0">
      <selection activeCell="G10" sqref="G10"/>
    </sheetView>
  </sheetViews>
  <sheetFormatPr defaultRowHeight="12.75" x14ac:dyDescent="0.2"/>
  <cols>
    <col min="1" max="1" width="3.85546875" style="131" customWidth="1"/>
    <col min="2" max="2" width="21.7109375" style="131" customWidth="1"/>
    <col min="3" max="5" width="9.7109375" style="140" customWidth="1"/>
    <col min="6" max="8" width="9.7109375" style="131" customWidth="1"/>
    <col min="9" max="9" width="10.5703125" style="131" customWidth="1"/>
    <col min="10" max="10" width="10.7109375" style="131" customWidth="1"/>
    <col min="11" max="11" width="43.7109375" style="131" customWidth="1"/>
    <col min="12" max="16384" width="9.140625" style="131"/>
  </cols>
  <sheetData>
    <row r="1" spans="1:11" x14ac:dyDescent="0.2">
      <c r="A1" s="641" t="s">
        <v>519</v>
      </c>
      <c r="B1" s="642"/>
      <c r="C1" s="643"/>
      <c r="D1" s="643"/>
      <c r="E1" s="643"/>
      <c r="F1" s="642"/>
      <c r="G1" s="642"/>
      <c r="H1" s="642"/>
      <c r="I1" s="642"/>
      <c r="J1" s="642"/>
      <c r="K1" s="871"/>
    </row>
    <row r="2" spans="1:11" x14ac:dyDescent="0.2">
      <c r="A2" s="644" t="s">
        <v>523</v>
      </c>
      <c r="B2" s="642"/>
      <c r="C2" s="643"/>
      <c r="D2" s="643"/>
      <c r="E2" s="643"/>
      <c r="F2" s="642"/>
      <c r="G2" s="642"/>
      <c r="H2" s="642"/>
      <c r="I2" s="642"/>
      <c r="J2" s="642"/>
      <c r="K2" s="871"/>
    </row>
    <row r="3" spans="1:11" s="133" customFormat="1" ht="25.5" customHeight="1" x14ac:dyDescent="0.2">
      <c r="A3" s="651" t="s">
        <v>520</v>
      </c>
      <c r="B3" s="132" t="s">
        <v>521</v>
      </c>
      <c r="C3" s="123" t="s">
        <v>840</v>
      </c>
      <c r="D3" s="123" t="s">
        <v>554</v>
      </c>
      <c r="E3" s="123" t="s">
        <v>655</v>
      </c>
      <c r="F3" s="645"/>
      <c r="G3" s="132" t="s">
        <v>522</v>
      </c>
      <c r="H3" s="162" t="s">
        <v>543</v>
      </c>
      <c r="I3" s="645"/>
      <c r="J3" s="645"/>
      <c r="K3" s="872"/>
    </row>
    <row r="4" spans="1:11" x14ac:dyDescent="0.2">
      <c r="A4" s="652">
        <v>1</v>
      </c>
      <c r="B4" s="208"/>
      <c r="C4" s="209"/>
      <c r="D4" s="209"/>
      <c r="E4" s="134" t="str">
        <f>IF(C4-D4=0, "", C4-D4)</f>
        <v/>
      </c>
      <c r="F4" s="642"/>
      <c r="G4" s="642"/>
      <c r="H4" s="642"/>
      <c r="I4" s="642"/>
      <c r="J4" s="642"/>
      <c r="K4" s="871"/>
    </row>
    <row r="5" spans="1:11" x14ac:dyDescent="0.2">
      <c r="A5" s="652">
        <v>2</v>
      </c>
      <c r="B5" s="210"/>
      <c r="C5" s="209"/>
      <c r="D5" s="209"/>
      <c r="E5" s="134" t="str">
        <f t="shared" ref="E5:E13" si="0">IF(C5-D5=0, "", C5-D5)</f>
        <v/>
      </c>
      <c r="F5" s="642"/>
      <c r="G5" s="1097" t="s">
        <v>996</v>
      </c>
      <c r="H5" s="1100">
        <v>0.12</v>
      </c>
      <c r="I5" s="642"/>
      <c r="J5" s="642"/>
      <c r="K5" s="871"/>
    </row>
    <row r="6" spans="1:11" x14ac:dyDescent="0.2">
      <c r="A6" s="652">
        <v>3</v>
      </c>
      <c r="B6" s="210"/>
      <c r="C6" s="209"/>
      <c r="D6" s="209"/>
      <c r="E6" s="134" t="str">
        <f t="shared" si="0"/>
        <v/>
      </c>
      <c r="F6" s="642"/>
      <c r="G6" s="1098"/>
      <c r="H6" s="1101"/>
      <c r="I6" s="642"/>
      <c r="J6" s="642"/>
      <c r="K6" s="871"/>
    </row>
    <row r="7" spans="1:11" x14ac:dyDescent="0.2">
      <c r="A7" s="652">
        <v>4</v>
      </c>
      <c r="B7" s="210"/>
      <c r="C7" s="209"/>
      <c r="D7" s="209"/>
      <c r="E7" s="134" t="str">
        <f t="shared" si="0"/>
        <v/>
      </c>
      <c r="F7" s="642"/>
      <c r="G7" s="1098"/>
      <c r="H7" s="1101"/>
      <c r="I7" s="642"/>
      <c r="J7" s="642"/>
      <c r="K7" s="871"/>
    </row>
    <row r="8" spans="1:11" x14ac:dyDescent="0.2">
      <c r="A8" s="652">
        <v>5</v>
      </c>
      <c r="B8" s="210"/>
      <c r="C8" s="209"/>
      <c r="D8" s="209"/>
      <c r="E8" s="134" t="str">
        <f t="shared" si="0"/>
        <v/>
      </c>
      <c r="F8" s="642"/>
      <c r="G8" s="1099"/>
      <c r="H8" s="1102"/>
      <c r="I8" s="642"/>
      <c r="J8" s="642"/>
      <c r="K8" s="871"/>
    </row>
    <row r="9" spans="1:11" x14ac:dyDescent="0.2">
      <c r="A9" s="652">
        <v>6</v>
      </c>
      <c r="B9" s="210"/>
      <c r="C9" s="209"/>
      <c r="D9" s="209"/>
      <c r="E9" s="134" t="str">
        <f t="shared" si="0"/>
        <v/>
      </c>
      <c r="F9" s="642"/>
      <c r="G9" s="642"/>
      <c r="H9" s="642"/>
      <c r="I9" s="642"/>
      <c r="J9" s="642"/>
      <c r="K9" s="871"/>
    </row>
    <row r="10" spans="1:11" x14ac:dyDescent="0.2">
      <c r="A10" s="652">
        <v>7</v>
      </c>
      <c r="B10" s="210"/>
      <c r="C10" s="209"/>
      <c r="D10" s="209"/>
      <c r="E10" s="134" t="str">
        <f t="shared" si="0"/>
        <v/>
      </c>
      <c r="F10" s="642"/>
      <c r="G10" s="642"/>
      <c r="H10" s="642"/>
      <c r="I10" s="642"/>
      <c r="J10" s="642"/>
      <c r="K10" s="871"/>
    </row>
    <row r="11" spans="1:11" x14ac:dyDescent="0.2">
      <c r="A11" s="652">
        <v>8</v>
      </c>
      <c r="B11" s="210"/>
      <c r="C11" s="209"/>
      <c r="D11" s="209"/>
      <c r="E11" s="134" t="str">
        <f t="shared" si="0"/>
        <v/>
      </c>
      <c r="F11" s="642"/>
      <c r="G11" s="642"/>
      <c r="H11" s="642"/>
      <c r="I11" s="642"/>
      <c r="J11" s="642"/>
      <c r="K11" s="871"/>
    </row>
    <row r="12" spans="1:11" x14ac:dyDescent="0.2">
      <c r="A12" s="652">
        <v>9</v>
      </c>
      <c r="B12" s="210"/>
      <c r="C12" s="209"/>
      <c r="D12" s="209"/>
      <c r="E12" s="134" t="str">
        <f t="shared" si="0"/>
        <v/>
      </c>
      <c r="F12" s="642"/>
      <c r="G12" s="642"/>
      <c r="H12" s="642"/>
      <c r="I12" s="642"/>
      <c r="J12" s="642"/>
      <c r="K12" s="871"/>
    </row>
    <row r="13" spans="1:11" x14ac:dyDescent="0.2">
      <c r="A13" s="652">
        <v>10</v>
      </c>
      <c r="B13" s="210"/>
      <c r="C13" s="209"/>
      <c r="D13" s="209"/>
      <c r="E13" s="134" t="str">
        <f t="shared" si="0"/>
        <v/>
      </c>
      <c r="F13" s="642"/>
      <c r="G13" s="642"/>
      <c r="H13" s="642"/>
      <c r="I13" s="642"/>
      <c r="J13" s="642"/>
      <c r="K13" s="871"/>
    </row>
    <row r="14" spans="1:11" x14ac:dyDescent="0.2">
      <c r="A14" s="647" t="s">
        <v>841</v>
      </c>
      <c r="B14" s="648" t="s">
        <v>845</v>
      </c>
      <c r="C14" s="643"/>
      <c r="D14" s="643"/>
      <c r="E14" s="643"/>
      <c r="F14" s="642"/>
      <c r="G14" s="642"/>
      <c r="H14" s="642"/>
      <c r="I14" s="642"/>
      <c r="J14" s="642"/>
      <c r="K14" s="871"/>
    </row>
    <row r="15" spans="1:11" s="267" customFormat="1" x14ac:dyDescent="0.2">
      <c r="A15" s="649" t="s">
        <v>843</v>
      </c>
      <c r="B15" s="646" t="s">
        <v>842</v>
      </c>
      <c r="C15" s="650"/>
      <c r="D15" s="650"/>
      <c r="E15" s="650"/>
      <c r="F15" s="646"/>
      <c r="G15" s="646"/>
      <c r="H15" s="646"/>
      <c r="I15" s="646"/>
      <c r="J15" s="646"/>
      <c r="K15" s="873"/>
    </row>
    <row r="16" spans="1:11" x14ac:dyDescent="0.2">
      <c r="A16" s="644" t="s">
        <v>529</v>
      </c>
      <c r="B16" s="642"/>
      <c r="C16" s="643"/>
      <c r="D16" s="643"/>
      <c r="E16" s="643"/>
      <c r="F16" s="642"/>
      <c r="G16" s="642"/>
      <c r="H16" s="642"/>
      <c r="I16" s="642"/>
      <c r="J16" s="642"/>
      <c r="K16" s="871"/>
    </row>
    <row r="17" spans="1:11" s="133" customFormat="1" ht="38.25" customHeight="1" x14ac:dyDescent="0.2">
      <c r="A17" s="1107" t="s">
        <v>520</v>
      </c>
      <c r="B17" s="1109" t="s">
        <v>521</v>
      </c>
      <c r="C17" s="1094" t="s">
        <v>524</v>
      </c>
      <c r="D17" s="1103" t="s">
        <v>528</v>
      </c>
      <c r="E17" s="1094" t="s">
        <v>597</v>
      </c>
      <c r="F17" s="1094" t="s">
        <v>525</v>
      </c>
      <c r="G17" s="1103" t="s">
        <v>526</v>
      </c>
      <c r="H17" s="1105" t="s">
        <v>527</v>
      </c>
      <c r="I17" s="268" t="s">
        <v>844</v>
      </c>
      <c r="J17" s="642"/>
      <c r="K17" s="872"/>
    </row>
    <row r="18" spans="1:11" s="133" customFormat="1" ht="12" customHeight="1" x14ac:dyDescent="0.2">
      <c r="A18" s="1108"/>
      <c r="B18" s="1110"/>
      <c r="C18" s="1095"/>
      <c r="D18" s="1104"/>
      <c r="E18" s="1095"/>
      <c r="F18" s="1095"/>
      <c r="G18" s="1104"/>
      <c r="H18" s="1106"/>
      <c r="I18" s="270">
        <f>H5</f>
        <v>0.12</v>
      </c>
      <c r="J18" s="642"/>
      <c r="K18" s="872"/>
    </row>
    <row r="19" spans="1:11" x14ac:dyDescent="0.2">
      <c r="A19" s="652">
        <v>1</v>
      </c>
      <c r="B19" s="135" t="str">
        <f>IF(B4="", "", B4)</f>
        <v/>
      </c>
      <c r="C19" s="209"/>
      <c r="D19" s="209"/>
      <c r="E19" s="134" t="str">
        <f>IF(C19="","",IF(C19=0,"",C19-D19))</f>
        <v/>
      </c>
      <c r="F19" s="136" t="str">
        <f>IF(E19="", "", 100%)</f>
        <v/>
      </c>
      <c r="G19" s="137" t="str">
        <f>IF(E19="","",IF(E19=0,"",IF($H$3="AAA",20%,IF($H$3="AA",30%,IF($H$3="A",50%,IF($H$3="BBB",100%,IF($H$3="UNRATED",100%,150%)))))))</f>
        <v/>
      </c>
      <c r="H19" s="134" t="str">
        <f>IF(ISERROR(E19*F19*G19),"",IF(E19*F19*G19=0,"",E19*F19*G19))</f>
        <v/>
      </c>
      <c r="I19" s="269" t="str">
        <f>IF(ISERROR(H19*$H$5),"",IF(H19*$H$5=0,"",H19*$H$5))</f>
        <v/>
      </c>
      <c r="J19" s="642"/>
      <c r="K19" s="871"/>
    </row>
    <row r="20" spans="1:11" x14ac:dyDescent="0.2">
      <c r="A20" s="652">
        <v>2</v>
      </c>
      <c r="B20" s="135" t="str">
        <f t="shared" ref="B20:B28" si="1">IF(B5="", "", B5)</f>
        <v/>
      </c>
      <c r="C20" s="209"/>
      <c r="D20" s="209"/>
      <c r="E20" s="134" t="str">
        <f t="shared" ref="E20:E28" si="2">IF(C20="","",IF(C20=0,"",C20-D20))</f>
        <v/>
      </c>
      <c r="F20" s="136" t="str">
        <f t="shared" ref="F20:F28" si="3">IF(E20="", "", 100%)</f>
        <v/>
      </c>
      <c r="G20" s="137" t="str">
        <f t="shared" ref="G20:G28" si="4">IF(E20="","",IF(E20=0,"",IF($H$3="AAA",20%,IF($H$3="AA",30%,IF($H$3="A",50%,IF($H$3="BBB",100%,IF($H$3="UNRATED",100%,150%)))))))</f>
        <v/>
      </c>
      <c r="H20" s="134" t="str">
        <f t="shared" ref="H20:H28" si="5">IF(ISERROR(E20*F20*G20),"",IF(E20*F20*G20=0,"",E20*F20*G20))</f>
        <v/>
      </c>
      <c r="I20" s="134" t="str">
        <f t="shared" ref="I20:I28" si="6">IF(ISERROR(H20*$H$5),"",IF(H20*$H$5=0,"",H20*$H$5))</f>
        <v/>
      </c>
      <c r="J20" s="642"/>
      <c r="K20" s="871"/>
    </row>
    <row r="21" spans="1:11" x14ac:dyDescent="0.2">
      <c r="A21" s="652">
        <v>3</v>
      </c>
      <c r="B21" s="135" t="str">
        <f t="shared" si="1"/>
        <v/>
      </c>
      <c r="C21" s="209"/>
      <c r="D21" s="209"/>
      <c r="E21" s="134" t="str">
        <f t="shared" si="2"/>
        <v/>
      </c>
      <c r="F21" s="136" t="str">
        <f t="shared" si="3"/>
        <v/>
      </c>
      <c r="G21" s="137" t="str">
        <f t="shared" si="4"/>
        <v/>
      </c>
      <c r="H21" s="134" t="str">
        <f t="shared" si="5"/>
        <v/>
      </c>
      <c r="I21" s="134" t="str">
        <f t="shared" si="6"/>
        <v/>
      </c>
      <c r="J21" s="642"/>
      <c r="K21" s="871"/>
    </row>
    <row r="22" spans="1:11" x14ac:dyDescent="0.2">
      <c r="A22" s="652">
        <v>4</v>
      </c>
      <c r="B22" s="135" t="str">
        <f t="shared" si="1"/>
        <v/>
      </c>
      <c r="C22" s="209"/>
      <c r="D22" s="209"/>
      <c r="E22" s="134" t="str">
        <f t="shared" si="2"/>
        <v/>
      </c>
      <c r="F22" s="136" t="str">
        <f t="shared" si="3"/>
        <v/>
      </c>
      <c r="G22" s="137" t="str">
        <f t="shared" si="4"/>
        <v/>
      </c>
      <c r="H22" s="134" t="str">
        <f t="shared" si="5"/>
        <v/>
      </c>
      <c r="I22" s="134" t="str">
        <f t="shared" si="6"/>
        <v/>
      </c>
      <c r="J22" s="642"/>
      <c r="K22" s="871"/>
    </row>
    <row r="23" spans="1:11" x14ac:dyDescent="0.2">
      <c r="A23" s="652">
        <v>5</v>
      </c>
      <c r="B23" s="135" t="str">
        <f t="shared" si="1"/>
        <v/>
      </c>
      <c r="C23" s="209"/>
      <c r="D23" s="209"/>
      <c r="E23" s="134" t="str">
        <f t="shared" si="2"/>
        <v/>
      </c>
      <c r="F23" s="136" t="str">
        <f t="shared" si="3"/>
        <v/>
      </c>
      <c r="G23" s="137" t="str">
        <f t="shared" si="4"/>
        <v/>
      </c>
      <c r="H23" s="134" t="str">
        <f t="shared" si="5"/>
        <v/>
      </c>
      <c r="I23" s="134" t="str">
        <f t="shared" si="6"/>
        <v/>
      </c>
      <c r="J23" s="642"/>
      <c r="K23" s="871"/>
    </row>
    <row r="24" spans="1:11" x14ac:dyDescent="0.2">
      <c r="A24" s="652">
        <v>6</v>
      </c>
      <c r="B24" s="135" t="str">
        <f t="shared" si="1"/>
        <v/>
      </c>
      <c r="C24" s="209"/>
      <c r="D24" s="209"/>
      <c r="E24" s="134" t="str">
        <f t="shared" si="2"/>
        <v/>
      </c>
      <c r="F24" s="136" t="str">
        <f t="shared" si="3"/>
        <v/>
      </c>
      <c r="G24" s="137" t="str">
        <f t="shared" si="4"/>
        <v/>
      </c>
      <c r="H24" s="134" t="str">
        <f t="shared" si="5"/>
        <v/>
      </c>
      <c r="I24" s="134" t="str">
        <f t="shared" si="6"/>
        <v/>
      </c>
      <c r="J24" s="642"/>
      <c r="K24" s="871"/>
    </row>
    <row r="25" spans="1:11" x14ac:dyDescent="0.2">
      <c r="A25" s="652">
        <v>7</v>
      </c>
      <c r="B25" s="135" t="str">
        <f t="shared" si="1"/>
        <v/>
      </c>
      <c r="C25" s="209"/>
      <c r="D25" s="209"/>
      <c r="E25" s="134" t="str">
        <f t="shared" si="2"/>
        <v/>
      </c>
      <c r="F25" s="136" t="str">
        <f t="shared" si="3"/>
        <v/>
      </c>
      <c r="G25" s="137" t="str">
        <f t="shared" si="4"/>
        <v/>
      </c>
      <c r="H25" s="134" t="str">
        <f t="shared" si="5"/>
        <v/>
      </c>
      <c r="I25" s="134" t="str">
        <f t="shared" si="6"/>
        <v/>
      </c>
      <c r="J25" s="642"/>
      <c r="K25" s="871"/>
    </row>
    <row r="26" spans="1:11" x14ac:dyDescent="0.2">
      <c r="A26" s="652">
        <v>8</v>
      </c>
      <c r="B26" s="135" t="str">
        <f t="shared" si="1"/>
        <v/>
      </c>
      <c r="C26" s="209"/>
      <c r="D26" s="209"/>
      <c r="E26" s="134" t="str">
        <f t="shared" si="2"/>
        <v/>
      </c>
      <c r="F26" s="136" t="str">
        <f t="shared" si="3"/>
        <v/>
      </c>
      <c r="G26" s="137" t="str">
        <f t="shared" si="4"/>
        <v/>
      </c>
      <c r="H26" s="134" t="str">
        <f t="shared" si="5"/>
        <v/>
      </c>
      <c r="I26" s="134" t="str">
        <f t="shared" si="6"/>
        <v/>
      </c>
      <c r="J26" s="642"/>
      <c r="K26" s="871"/>
    </row>
    <row r="27" spans="1:11" x14ac:dyDescent="0.2">
      <c r="A27" s="652">
        <v>9</v>
      </c>
      <c r="B27" s="135" t="str">
        <f t="shared" si="1"/>
        <v/>
      </c>
      <c r="C27" s="209"/>
      <c r="D27" s="209"/>
      <c r="E27" s="134" t="str">
        <f t="shared" si="2"/>
        <v/>
      </c>
      <c r="F27" s="136" t="str">
        <f t="shared" si="3"/>
        <v/>
      </c>
      <c r="G27" s="137" t="str">
        <f t="shared" si="4"/>
        <v/>
      </c>
      <c r="H27" s="134" t="str">
        <f t="shared" si="5"/>
        <v/>
      </c>
      <c r="I27" s="134" t="str">
        <f t="shared" si="6"/>
        <v/>
      </c>
      <c r="J27" s="642"/>
      <c r="K27" s="871"/>
    </row>
    <row r="28" spans="1:11" x14ac:dyDescent="0.2">
      <c r="A28" s="652">
        <v>10</v>
      </c>
      <c r="B28" s="135" t="str">
        <f t="shared" si="1"/>
        <v/>
      </c>
      <c r="C28" s="209"/>
      <c r="D28" s="209"/>
      <c r="E28" s="134" t="str">
        <f t="shared" si="2"/>
        <v/>
      </c>
      <c r="F28" s="136" t="str">
        <f t="shared" si="3"/>
        <v/>
      </c>
      <c r="G28" s="137" t="str">
        <f t="shared" si="4"/>
        <v/>
      </c>
      <c r="H28" s="134" t="str">
        <f t="shared" si="5"/>
        <v/>
      </c>
      <c r="I28" s="134" t="str">
        <f t="shared" si="6"/>
        <v/>
      </c>
      <c r="J28" s="642"/>
      <c r="K28" s="871"/>
    </row>
    <row r="29" spans="1:11" x14ac:dyDescent="0.2">
      <c r="A29" s="652"/>
      <c r="B29" s="655" t="s">
        <v>558</v>
      </c>
      <c r="C29" s="654">
        <f>SUM(C19:C28)</f>
        <v>0</v>
      </c>
      <c r="D29" s="653"/>
      <c r="E29" s="653"/>
      <c r="F29" s="657"/>
      <c r="G29" s="658"/>
      <c r="H29" s="653"/>
      <c r="I29" s="653"/>
      <c r="J29" s="642"/>
      <c r="K29" s="871"/>
    </row>
    <row r="30" spans="1:11" x14ac:dyDescent="0.2">
      <c r="A30" s="652"/>
      <c r="B30" s="138" t="s">
        <v>547</v>
      </c>
      <c r="C30" s="145"/>
      <c r="D30" s="145"/>
      <c r="E30" s="145"/>
      <c r="F30" s="146"/>
      <c r="G30" s="146"/>
      <c r="H30" s="145"/>
      <c r="I30" s="145"/>
      <c r="J30" s="642"/>
      <c r="K30" s="871"/>
    </row>
    <row r="31" spans="1:11" x14ac:dyDescent="0.2">
      <c r="A31" s="652">
        <v>11</v>
      </c>
      <c r="B31" s="161"/>
      <c r="C31" s="209"/>
      <c r="D31" s="209"/>
      <c r="E31" s="134" t="str">
        <f>IF(C31="","",IF(C31=0,"",C31-D31))</f>
        <v/>
      </c>
      <c r="F31" s="136" t="str">
        <f>IF(B31=B63,C63,IF(B31=B64,C64,IF(B31=B65,C65,IF(B31=B66,C66,IF(B31=B67,C67,IF(B31=B68,C68,IF(B31=B69,C69,IF(B31="",""))))))))</f>
        <v/>
      </c>
      <c r="G31" s="137" t="str">
        <f>IF(E31="","",IF(E31=0,"",IF($H$3="AAA",20%,IF($H$3="AA",30%,IF($H$3="A",50%,IF($H$3="BBB",100%,IF($H$3="UNRATED",100%,150%)))))))</f>
        <v/>
      </c>
      <c r="H31" s="134" t="str">
        <f>IF(ISERROR(E31*F31*G31),"",IF(E31*F31*G31=0,"",E31*F31*G31))</f>
        <v/>
      </c>
      <c r="I31" s="134" t="str">
        <f>IF(ISERROR(H31*$H$5),"",IF(H31*$H$5=0,"",H31*$H$5))</f>
        <v/>
      </c>
      <c r="J31" s="642"/>
      <c r="K31" s="871"/>
    </row>
    <row r="32" spans="1:11" x14ac:dyDescent="0.2">
      <c r="A32" s="652">
        <v>12</v>
      </c>
      <c r="B32" s="161"/>
      <c r="C32" s="209"/>
      <c r="D32" s="209"/>
      <c r="E32" s="134" t="str">
        <f>IF(C32="","",IF(C32=0,"",C32-D32))</f>
        <v/>
      </c>
      <c r="F32" s="136" t="str">
        <f>IF(B32=B63,C63,IF(B32=B64,C64,IF(B32=B65,C65,IF(B32=B66,C66,IF(B32=B67,C67,IF(B32=B68,C68,IF(B32=B69,C69,IF(B32="",""))))))))</f>
        <v/>
      </c>
      <c r="G32" s="137" t="str">
        <f>IF(E32="","",IF(E32=0,"",IF($H$3="AAA",20%,IF($H$3="AA",30%,IF($H$3="A",50%,IF($H$3="BBB",100%,IF($H$3="UNRATED",100%,150%)))))))</f>
        <v/>
      </c>
      <c r="H32" s="134" t="str">
        <f>IF(ISERROR(E32*F32*G32),"",IF(E32*F32*G32=0,"",E32*F32*G32))</f>
        <v/>
      </c>
      <c r="I32" s="134" t="str">
        <f>IF(ISERROR(H32*$H$5),"",IF(H32*$H$5=0,"",H32*$H$5))</f>
        <v/>
      </c>
      <c r="J32" s="642"/>
      <c r="K32" s="871"/>
    </row>
    <row r="33" spans="1:11" x14ac:dyDescent="0.2">
      <c r="A33" s="652">
        <v>13</v>
      </c>
      <c r="B33" s="161"/>
      <c r="C33" s="209"/>
      <c r="D33" s="209"/>
      <c r="E33" s="134" t="str">
        <f>IF(C33="","",IF(C33=0,"",C33-D33))</f>
        <v/>
      </c>
      <c r="F33" s="136" t="str">
        <f>IF(B33=B63,C63,IF(B33=B64,C64,IF(B33=B65,C65,IF(B33=B66,C66,IF(B33=B67,C67,IF(B33=B68,C68,IF(B33=B69,C69,IF(B33="",""))))))))</f>
        <v/>
      </c>
      <c r="G33" s="137" t="str">
        <f>IF(E33="","",IF(E33=0,"",IF($H$3="AAA",20%,IF($H$3="AA",30%,IF($H$3="A",50%,IF($H$3="BBB",100%,IF($H$3="UNRATED",100%,150%)))))))</f>
        <v/>
      </c>
      <c r="H33" s="134" t="str">
        <f>IF(ISERROR(E33*F33*G33),"",IF(E33*F33*G33=0,"",E33*F33*G33))</f>
        <v/>
      </c>
      <c r="I33" s="134" t="str">
        <f>IF(ISERROR(H33*$H$5),"",IF(H33*$H$5=0,"",H33*$H$5))</f>
        <v/>
      </c>
      <c r="J33" s="642"/>
      <c r="K33" s="871"/>
    </row>
    <row r="34" spans="1:11" x14ac:dyDescent="0.2">
      <c r="A34" s="652">
        <v>14</v>
      </c>
      <c r="B34" s="161"/>
      <c r="C34" s="209"/>
      <c r="D34" s="209"/>
      <c r="E34" s="134" t="str">
        <f>IF(C34="","",IF(C34=0,"",C34-D34))</f>
        <v/>
      </c>
      <c r="F34" s="136" t="str">
        <f>IF(B34=B63,C63,IF(B34=B64,C64,IF(B34=B65,C65,IF(B34=B66,C66,IF(B34=B67,C67,IF(B34=B68,C68,IF(B34=B69,C69,IF(B34="",""))))))))</f>
        <v/>
      </c>
      <c r="G34" s="137" t="str">
        <f>IF(E34="","",IF(E34=0,"",IF($H$3="AAA",20%,IF($H$3="AA",30%,IF($H$3="A",50%,IF($H$3="BBB",100%,IF($H$3="UNRATED",100%,150%)))))))</f>
        <v/>
      </c>
      <c r="H34" s="134" t="str">
        <f>IF(ISERROR(E34*F34*G34),"",IF(E34*F34*G34=0,"",E34*F34*G34))</f>
        <v/>
      </c>
      <c r="I34" s="134" t="str">
        <f>IF(ISERROR(H34*$H$5),"",IF(H34*$H$5=0,"",H34*$H$5))</f>
        <v/>
      </c>
      <c r="J34" s="642"/>
      <c r="K34" s="871"/>
    </row>
    <row r="35" spans="1:11" x14ac:dyDescent="0.2">
      <c r="A35" s="652">
        <v>15</v>
      </c>
      <c r="B35" s="161"/>
      <c r="C35" s="209"/>
      <c r="D35" s="209"/>
      <c r="E35" s="134" t="str">
        <f>IF(C35="","",IF(C35=0,"",C35-D35))</f>
        <v/>
      </c>
      <c r="F35" s="136" t="str">
        <f>IF(B35=B63,C63,IF(B35=B64,C64,IF(B35=B65,C65,IF(B35=B66,C66,IF(B35=B67,C67,IF(B35=B68,C68,IF(B35=B69,C69,IF(B35="",""))))))))</f>
        <v/>
      </c>
      <c r="G35" s="137" t="str">
        <f>IF(E35="","",IF(E35=0,"",IF($H$3="AAA",20%,IF($H$3="AA",30%,IF($H$3="A",50%,IF($H$3="BBB",100%,IF($H$3="UNRATED",100%,150%)))))))</f>
        <v/>
      </c>
      <c r="H35" s="134" t="str">
        <f>IF(ISERROR(E35*F35*G35),"",IF(E35*F35*G35=0,"",E35*F35*G35))</f>
        <v/>
      </c>
      <c r="I35" s="134" t="str">
        <f>IF(ISERROR(H35*$H$5),"",IF(H35*$H$5=0,"",H35*$H$5))</f>
        <v/>
      </c>
      <c r="J35" s="642"/>
      <c r="K35" s="871"/>
    </row>
    <row r="36" spans="1:11" x14ac:dyDescent="0.2">
      <c r="A36" s="652"/>
      <c r="B36" s="656" t="s">
        <v>558</v>
      </c>
      <c r="C36" s="654">
        <f>SUM(C31:C35)</f>
        <v>0</v>
      </c>
      <c r="D36" s="653"/>
      <c r="E36" s="653"/>
      <c r="F36" s="657"/>
      <c r="G36" s="658"/>
      <c r="H36" s="653"/>
      <c r="I36" s="653"/>
      <c r="J36" s="642"/>
      <c r="K36" s="871"/>
    </row>
    <row r="37" spans="1:11" s="139" customFormat="1" ht="15" customHeight="1" x14ac:dyDescent="0.2">
      <c r="A37" s="655"/>
      <c r="B37" s="138" t="s">
        <v>258</v>
      </c>
      <c r="C37" s="122">
        <f>C29+C36</f>
        <v>0</v>
      </c>
      <c r="D37" s="122"/>
      <c r="E37" s="122"/>
      <c r="F37" s="138"/>
      <c r="G37" s="138"/>
      <c r="H37" s="138"/>
      <c r="I37" s="122">
        <f>SUM(I19:I35)</f>
        <v>0</v>
      </c>
      <c r="J37" s="644"/>
      <c r="K37" s="874"/>
    </row>
    <row r="38" spans="1:11" x14ac:dyDescent="0.2">
      <c r="A38" s="642"/>
      <c r="B38" s="642"/>
      <c r="C38" s="643"/>
      <c r="D38" s="643"/>
      <c r="E38" s="643"/>
      <c r="F38" s="642"/>
      <c r="G38" s="642"/>
      <c r="H38" s="642"/>
      <c r="I38" s="642"/>
      <c r="J38" s="642"/>
      <c r="K38" s="871"/>
    </row>
    <row r="39" spans="1:11" x14ac:dyDescent="0.2">
      <c r="A39" s="644" t="s">
        <v>530</v>
      </c>
      <c r="B39" s="642"/>
      <c r="C39" s="643"/>
      <c r="D39" s="643"/>
      <c r="E39" s="643"/>
      <c r="F39" s="642"/>
      <c r="G39" s="642"/>
      <c r="H39" s="642"/>
      <c r="I39" s="642"/>
      <c r="J39" s="642"/>
      <c r="K39" s="871"/>
    </row>
    <row r="40" spans="1:11" ht="16.5" customHeight="1" x14ac:dyDescent="0.2">
      <c r="A40" s="655"/>
      <c r="B40" s="135"/>
      <c r="C40" s="1096" t="s">
        <v>535</v>
      </c>
      <c r="D40" s="1093"/>
      <c r="E40" s="1093"/>
      <c r="F40" s="1093"/>
      <c r="G40" s="1093" t="s">
        <v>536</v>
      </c>
      <c r="H40" s="1093"/>
      <c r="I40" s="1093"/>
      <c r="J40" s="1093"/>
      <c r="K40" s="871"/>
    </row>
    <row r="41" spans="1:11" s="133" customFormat="1" ht="48.75" customHeight="1" x14ac:dyDescent="0.2">
      <c r="A41" s="651"/>
      <c r="B41" s="132" t="s">
        <v>595</v>
      </c>
      <c r="C41" s="123" t="s">
        <v>531</v>
      </c>
      <c r="D41" s="123" t="s">
        <v>532</v>
      </c>
      <c r="E41" s="123" t="s">
        <v>533</v>
      </c>
      <c r="F41" s="130" t="s">
        <v>534</v>
      </c>
      <c r="G41" s="123" t="s">
        <v>551</v>
      </c>
      <c r="H41" s="123" t="s">
        <v>537</v>
      </c>
      <c r="I41" s="123" t="s">
        <v>538</v>
      </c>
      <c r="J41" s="130" t="s">
        <v>539</v>
      </c>
      <c r="K41" s="872"/>
    </row>
    <row r="42" spans="1:11" x14ac:dyDescent="0.2">
      <c r="A42" s="652">
        <v>1</v>
      </c>
      <c r="B42" s="135" t="str">
        <f>IF(B4="", "", B4)</f>
        <v/>
      </c>
      <c r="C42" s="209"/>
      <c r="D42" s="134" t="str">
        <f t="shared" ref="D42:D51" si="7">IF(ISERROR(C42*E4/C4),"",IF(C42*E4/C4=0,"",C42*E4/C4))</f>
        <v/>
      </c>
      <c r="E42" s="209"/>
      <c r="F42" s="134" t="str">
        <f>IF(ISERROR(D42+E42),"",IF(D42+E42=0,"",D42+E42))</f>
        <v/>
      </c>
      <c r="G42" s="209"/>
      <c r="H42" s="134" t="str">
        <f t="shared" ref="H42:H51" si="8">IF(ISERROR(G42*E4/C4),"",IF(G42*E4/C4=0,"",G42*E4/C4))</f>
        <v/>
      </c>
      <c r="I42" s="209"/>
      <c r="J42" s="134" t="str">
        <f>IF(ISERROR(H42+I42),"",IF(H42+I42=0,"",H42+I42))</f>
        <v/>
      </c>
      <c r="K42" s="871"/>
    </row>
    <row r="43" spans="1:11" x14ac:dyDescent="0.2">
      <c r="A43" s="652">
        <v>2</v>
      </c>
      <c r="B43" s="135" t="str">
        <f t="shared" ref="B43:B51" si="9">IF(B5="", "", B5)</f>
        <v/>
      </c>
      <c r="C43" s="209"/>
      <c r="D43" s="134" t="str">
        <f t="shared" si="7"/>
        <v/>
      </c>
      <c r="E43" s="209"/>
      <c r="F43" s="134" t="str">
        <f t="shared" ref="F43:F51" si="10">IF(ISERROR(D43+E43),"",IF(D43+E43=0,"",D43+E43))</f>
        <v/>
      </c>
      <c r="G43" s="209"/>
      <c r="H43" s="134" t="str">
        <f t="shared" si="8"/>
        <v/>
      </c>
      <c r="I43" s="209"/>
      <c r="J43" s="134" t="str">
        <f t="shared" ref="J43:J51" si="11">IF(ISERROR(H43+I43),"",IF(H43+I43=0,"",H43+I43))</f>
        <v/>
      </c>
      <c r="K43" s="871"/>
    </row>
    <row r="44" spans="1:11" x14ac:dyDescent="0.2">
      <c r="A44" s="652">
        <v>3</v>
      </c>
      <c r="B44" s="135" t="str">
        <f t="shared" si="9"/>
        <v/>
      </c>
      <c r="C44" s="209"/>
      <c r="D44" s="134" t="str">
        <f t="shared" si="7"/>
        <v/>
      </c>
      <c r="E44" s="209"/>
      <c r="F44" s="134" t="str">
        <f t="shared" si="10"/>
        <v/>
      </c>
      <c r="G44" s="209"/>
      <c r="H44" s="134" t="str">
        <f t="shared" si="8"/>
        <v/>
      </c>
      <c r="I44" s="209"/>
      <c r="J44" s="134" t="str">
        <f t="shared" si="11"/>
        <v/>
      </c>
      <c r="K44" s="871"/>
    </row>
    <row r="45" spans="1:11" x14ac:dyDescent="0.2">
      <c r="A45" s="652">
        <v>4</v>
      </c>
      <c r="B45" s="135" t="str">
        <f t="shared" si="9"/>
        <v/>
      </c>
      <c r="C45" s="209"/>
      <c r="D45" s="134" t="str">
        <f t="shared" si="7"/>
        <v/>
      </c>
      <c r="E45" s="209"/>
      <c r="F45" s="134" t="str">
        <f t="shared" si="10"/>
        <v/>
      </c>
      <c r="G45" s="209"/>
      <c r="H45" s="134" t="str">
        <f t="shared" si="8"/>
        <v/>
      </c>
      <c r="I45" s="209"/>
      <c r="J45" s="134" t="str">
        <f t="shared" si="11"/>
        <v/>
      </c>
      <c r="K45" s="871"/>
    </row>
    <row r="46" spans="1:11" x14ac:dyDescent="0.2">
      <c r="A46" s="652">
        <v>5</v>
      </c>
      <c r="B46" s="135" t="str">
        <f t="shared" si="9"/>
        <v/>
      </c>
      <c r="C46" s="209"/>
      <c r="D46" s="134" t="str">
        <f t="shared" si="7"/>
        <v/>
      </c>
      <c r="E46" s="209"/>
      <c r="F46" s="134" t="str">
        <f t="shared" si="10"/>
        <v/>
      </c>
      <c r="G46" s="209"/>
      <c r="H46" s="134" t="str">
        <f t="shared" si="8"/>
        <v/>
      </c>
      <c r="I46" s="209"/>
      <c r="J46" s="134" t="str">
        <f t="shared" si="11"/>
        <v/>
      </c>
      <c r="K46" s="871"/>
    </row>
    <row r="47" spans="1:11" x14ac:dyDescent="0.2">
      <c r="A47" s="652">
        <v>6</v>
      </c>
      <c r="B47" s="135" t="str">
        <f t="shared" si="9"/>
        <v/>
      </c>
      <c r="C47" s="209"/>
      <c r="D47" s="134" t="str">
        <f t="shared" si="7"/>
        <v/>
      </c>
      <c r="E47" s="209"/>
      <c r="F47" s="134" t="str">
        <f t="shared" si="10"/>
        <v/>
      </c>
      <c r="G47" s="209"/>
      <c r="H47" s="134" t="str">
        <f t="shared" si="8"/>
        <v/>
      </c>
      <c r="I47" s="209"/>
      <c r="J47" s="134" t="str">
        <f t="shared" si="11"/>
        <v/>
      </c>
      <c r="K47" s="871"/>
    </row>
    <row r="48" spans="1:11" x14ac:dyDescent="0.2">
      <c r="A48" s="652">
        <v>7</v>
      </c>
      <c r="B48" s="135" t="str">
        <f t="shared" si="9"/>
        <v/>
      </c>
      <c r="C48" s="209"/>
      <c r="D48" s="134" t="str">
        <f t="shared" si="7"/>
        <v/>
      </c>
      <c r="E48" s="209"/>
      <c r="F48" s="134" t="str">
        <f t="shared" si="10"/>
        <v/>
      </c>
      <c r="G48" s="209"/>
      <c r="H48" s="134" t="str">
        <f t="shared" si="8"/>
        <v/>
      </c>
      <c r="I48" s="209"/>
      <c r="J48" s="134" t="str">
        <f t="shared" si="11"/>
        <v/>
      </c>
      <c r="K48" s="871"/>
    </row>
    <row r="49" spans="1:11" x14ac:dyDescent="0.2">
      <c r="A49" s="652">
        <v>8</v>
      </c>
      <c r="B49" s="135" t="str">
        <f t="shared" si="9"/>
        <v/>
      </c>
      <c r="C49" s="209"/>
      <c r="D49" s="134" t="str">
        <f t="shared" si="7"/>
        <v/>
      </c>
      <c r="E49" s="209"/>
      <c r="F49" s="134" t="str">
        <f t="shared" si="10"/>
        <v/>
      </c>
      <c r="G49" s="209"/>
      <c r="H49" s="134" t="str">
        <f t="shared" si="8"/>
        <v/>
      </c>
      <c r="I49" s="209"/>
      <c r="J49" s="134" t="str">
        <f t="shared" si="11"/>
        <v/>
      </c>
      <c r="K49" s="871"/>
    </row>
    <row r="50" spans="1:11" x14ac:dyDescent="0.2">
      <c r="A50" s="652">
        <v>9</v>
      </c>
      <c r="B50" s="135" t="str">
        <f t="shared" si="9"/>
        <v/>
      </c>
      <c r="C50" s="209"/>
      <c r="D50" s="134" t="str">
        <f t="shared" si="7"/>
        <v/>
      </c>
      <c r="E50" s="209"/>
      <c r="F50" s="134" t="str">
        <f t="shared" si="10"/>
        <v/>
      </c>
      <c r="G50" s="209"/>
      <c r="H50" s="134" t="str">
        <f t="shared" si="8"/>
        <v/>
      </c>
      <c r="I50" s="209"/>
      <c r="J50" s="134" t="str">
        <f t="shared" si="11"/>
        <v/>
      </c>
      <c r="K50" s="871"/>
    </row>
    <row r="51" spans="1:11" x14ac:dyDescent="0.2">
      <c r="A51" s="652">
        <v>10</v>
      </c>
      <c r="B51" s="135" t="str">
        <f t="shared" si="9"/>
        <v/>
      </c>
      <c r="C51" s="209"/>
      <c r="D51" s="134" t="str">
        <f t="shared" si="7"/>
        <v/>
      </c>
      <c r="E51" s="209"/>
      <c r="F51" s="134" t="str">
        <f t="shared" si="10"/>
        <v/>
      </c>
      <c r="G51" s="209"/>
      <c r="H51" s="134" t="str">
        <f t="shared" si="8"/>
        <v/>
      </c>
      <c r="I51" s="209"/>
      <c r="J51" s="134" t="str">
        <f t="shared" si="11"/>
        <v/>
      </c>
      <c r="K51" s="871"/>
    </row>
    <row r="52" spans="1:11" x14ac:dyDescent="0.2">
      <c r="A52" s="652">
        <v>11</v>
      </c>
      <c r="B52" s="135" t="str">
        <f>IF(B31="", "", B31)</f>
        <v/>
      </c>
      <c r="C52" s="653"/>
      <c r="D52" s="653"/>
      <c r="E52" s="209"/>
      <c r="F52" s="134" t="str">
        <f>IF(E52=0, "", E52)</f>
        <v/>
      </c>
      <c r="G52" s="653"/>
      <c r="H52" s="653"/>
      <c r="I52" s="209"/>
      <c r="J52" s="134" t="str">
        <f>IF(I52=0, "", I52)</f>
        <v/>
      </c>
      <c r="K52" s="871"/>
    </row>
    <row r="53" spans="1:11" x14ac:dyDescent="0.2">
      <c r="A53" s="652">
        <v>12</v>
      </c>
      <c r="B53" s="135" t="str">
        <f>IF(B32="", "", B32)</f>
        <v/>
      </c>
      <c r="C53" s="653"/>
      <c r="D53" s="653"/>
      <c r="E53" s="209"/>
      <c r="F53" s="134" t="str">
        <f>IF(E53=0, "", E53)</f>
        <v/>
      </c>
      <c r="G53" s="653"/>
      <c r="H53" s="653"/>
      <c r="I53" s="209"/>
      <c r="J53" s="134" t="str">
        <f>IF(I53=0, "", I53)</f>
        <v/>
      </c>
      <c r="K53" s="871"/>
    </row>
    <row r="54" spans="1:11" x14ac:dyDescent="0.2">
      <c r="A54" s="652">
        <v>13</v>
      </c>
      <c r="B54" s="135" t="str">
        <f>IF(B33="", "", B33)</f>
        <v/>
      </c>
      <c r="C54" s="653"/>
      <c r="D54" s="653"/>
      <c r="E54" s="209"/>
      <c r="F54" s="134" t="str">
        <f>IF(E54=0, "", E54)</f>
        <v/>
      </c>
      <c r="G54" s="653"/>
      <c r="H54" s="653"/>
      <c r="I54" s="209"/>
      <c r="J54" s="134" t="str">
        <f>IF(I54=0, "", I54)</f>
        <v/>
      </c>
      <c r="K54" s="871"/>
    </row>
    <row r="55" spans="1:11" x14ac:dyDescent="0.2">
      <c r="A55" s="652">
        <v>14</v>
      </c>
      <c r="B55" s="135" t="str">
        <f>IF(B34="", "", B34)</f>
        <v/>
      </c>
      <c r="C55" s="653"/>
      <c r="D55" s="653"/>
      <c r="E55" s="209"/>
      <c r="F55" s="134" t="str">
        <f>IF(E55=0, "", E55)</f>
        <v/>
      </c>
      <c r="G55" s="653"/>
      <c r="H55" s="653"/>
      <c r="I55" s="209"/>
      <c r="J55" s="134" t="str">
        <f>IF(I55=0, "", I55)</f>
        <v/>
      </c>
      <c r="K55" s="871"/>
    </row>
    <row r="56" spans="1:11" x14ac:dyDescent="0.2">
      <c r="A56" s="652">
        <v>15</v>
      </c>
      <c r="B56" s="135" t="str">
        <f>IF(B35="", "", B35)</f>
        <v/>
      </c>
      <c r="C56" s="653"/>
      <c r="D56" s="653"/>
      <c r="E56" s="209"/>
      <c r="F56" s="134"/>
      <c r="G56" s="653"/>
      <c r="H56" s="653"/>
      <c r="I56" s="209"/>
      <c r="J56" s="134"/>
      <c r="K56" s="871"/>
    </row>
    <row r="57" spans="1:11" x14ac:dyDescent="0.2">
      <c r="A57" s="652">
        <v>16</v>
      </c>
      <c r="B57" s="77" t="s">
        <v>559</v>
      </c>
      <c r="C57" s="653"/>
      <c r="D57" s="653"/>
      <c r="E57" s="209"/>
      <c r="F57" s="134" t="str">
        <f>IF(E57=0, "", E57)</f>
        <v/>
      </c>
      <c r="G57" s="653"/>
      <c r="H57" s="653"/>
      <c r="I57" s="209"/>
      <c r="J57" s="134" t="str">
        <f>IF(I57=0, "", I57)</f>
        <v/>
      </c>
      <c r="K57" s="871"/>
    </row>
    <row r="58" spans="1:11" s="139" customFormat="1" x14ac:dyDescent="0.2">
      <c r="A58" s="655"/>
      <c r="B58" s="655" t="s">
        <v>258</v>
      </c>
      <c r="C58" s="654">
        <f>SUM(C42:C57)</f>
        <v>0</v>
      </c>
      <c r="D58" s="654">
        <f t="shared" ref="D58:J58" si="12">SUM(D42:D57)</f>
        <v>0</v>
      </c>
      <c r="E58" s="654">
        <f t="shared" si="12"/>
        <v>0</v>
      </c>
      <c r="F58" s="654">
        <f t="shared" si="12"/>
        <v>0</v>
      </c>
      <c r="G58" s="654">
        <f t="shared" si="12"/>
        <v>0</v>
      </c>
      <c r="H58" s="654">
        <f t="shared" si="12"/>
        <v>0</v>
      </c>
      <c r="I58" s="654">
        <f t="shared" si="12"/>
        <v>0</v>
      </c>
      <c r="J58" s="654">
        <f t="shared" si="12"/>
        <v>0</v>
      </c>
      <c r="K58" s="874"/>
    </row>
    <row r="59" spans="1:11" s="139" customFormat="1" ht="26.25" customHeight="1" x14ac:dyDescent="0.2">
      <c r="A59" s="655"/>
      <c r="B59" s="132" t="s">
        <v>555</v>
      </c>
      <c r="C59" s="1090" t="e">
        <f>F58/$I$37</f>
        <v>#DIV/0!</v>
      </c>
      <c r="D59" s="1091"/>
      <c r="E59" s="1091"/>
      <c r="F59" s="1092"/>
      <c r="G59" s="1090" t="e">
        <f>J58/$I$37</f>
        <v>#DIV/0!</v>
      </c>
      <c r="H59" s="1091"/>
      <c r="I59" s="1091"/>
      <c r="J59" s="1092"/>
      <c r="K59" s="874"/>
    </row>
    <row r="60" spans="1:11" x14ac:dyDescent="0.2">
      <c r="A60" s="868"/>
      <c r="B60" s="869"/>
      <c r="C60" s="838"/>
      <c r="D60" s="838"/>
      <c r="E60" s="838"/>
      <c r="F60" s="870"/>
      <c r="G60" s="870"/>
      <c r="H60" s="870"/>
      <c r="I60" s="870"/>
      <c r="J60" s="870"/>
      <c r="K60" s="875"/>
    </row>
    <row r="62" spans="1:11" ht="11.25" customHeight="1" x14ac:dyDescent="0.2"/>
    <row r="63" spans="1:11" hidden="1" x14ac:dyDescent="0.2">
      <c r="B63" s="141" t="s">
        <v>545</v>
      </c>
      <c r="C63" s="142">
        <v>1</v>
      </c>
      <c r="F63" s="143">
        <v>1</v>
      </c>
      <c r="H63" s="131" t="s">
        <v>540</v>
      </c>
    </row>
    <row r="64" spans="1:11" ht="25.5" hidden="1" x14ac:dyDescent="0.2">
      <c r="B64" s="141" t="s">
        <v>546</v>
      </c>
      <c r="C64" s="142">
        <v>0.5</v>
      </c>
      <c r="F64" s="143">
        <v>0.5</v>
      </c>
      <c r="H64" s="131" t="s">
        <v>544</v>
      </c>
    </row>
    <row r="65" spans="2:8" hidden="1" x14ac:dyDescent="0.2">
      <c r="B65" s="141" t="s">
        <v>549</v>
      </c>
      <c r="C65" s="142">
        <v>0.2</v>
      </c>
      <c r="F65" s="143">
        <v>0.2</v>
      </c>
      <c r="H65" s="131" t="s">
        <v>24</v>
      </c>
    </row>
    <row r="66" spans="2:8" hidden="1" x14ac:dyDescent="0.2">
      <c r="B66" s="141" t="s">
        <v>550</v>
      </c>
      <c r="C66" s="142">
        <v>1</v>
      </c>
      <c r="F66" s="143">
        <v>0</v>
      </c>
      <c r="H66" s="131" t="s">
        <v>541</v>
      </c>
    </row>
    <row r="67" spans="2:8" ht="63.75" hidden="1" x14ac:dyDescent="0.2">
      <c r="B67" s="141" t="s">
        <v>548</v>
      </c>
      <c r="C67" s="142">
        <v>0.2</v>
      </c>
      <c r="H67" s="131" t="s">
        <v>542</v>
      </c>
    </row>
    <row r="68" spans="2:8" ht="38.25" hidden="1" x14ac:dyDescent="0.2">
      <c r="B68" s="141" t="s">
        <v>552</v>
      </c>
      <c r="C68" s="142">
        <v>0.5</v>
      </c>
      <c r="H68" s="131" t="s">
        <v>29</v>
      </c>
    </row>
    <row r="69" spans="2:8" hidden="1" x14ac:dyDescent="0.2">
      <c r="B69" s="144" t="s">
        <v>560</v>
      </c>
      <c r="C69" s="142">
        <v>1</v>
      </c>
      <c r="H69" s="131" t="s">
        <v>373</v>
      </c>
    </row>
    <row r="70" spans="2:8" hidden="1" x14ac:dyDescent="0.2">
      <c r="B70" s="141"/>
      <c r="C70" s="142"/>
      <c r="H70" s="131" t="s">
        <v>4</v>
      </c>
    </row>
    <row r="71" spans="2:8" hidden="1" x14ac:dyDescent="0.2">
      <c r="B71" s="141"/>
      <c r="C71" s="142"/>
      <c r="H71" s="131" t="s">
        <v>543</v>
      </c>
    </row>
    <row r="72" spans="2:8" x14ac:dyDescent="0.2">
      <c r="B72" s="141"/>
      <c r="C72" s="142"/>
    </row>
    <row r="73" spans="2:8" x14ac:dyDescent="0.2">
      <c r="B73" s="141"/>
    </row>
    <row r="74" spans="2:8" x14ac:dyDescent="0.2">
      <c r="B74" s="141"/>
    </row>
    <row r="75" spans="2:8" x14ac:dyDescent="0.2">
      <c r="B75" s="141"/>
    </row>
    <row r="76" spans="2:8" x14ac:dyDescent="0.2">
      <c r="B76" s="141"/>
    </row>
    <row r="77" spans="2:8" x14ac:dyDescent="0.2">
      <c r="B77" s="141"/>
    </row>
    <row r="78" spans="2:8" x14ac:dyDescent="0.2">
      <c r="B78" s="141"/>
    </row>
    <row r="79" spans="2:8" x14ac:dyDescent="0.2">
      <c r="B79" s="141"/>
    </row>
  </sheetData>
  <protectedRanges>
    <protectedRange sqref="H5" name="Range12"/>
    <protectedRange sqref="I52:I57" name="Range10"/>
    <protectedRange sqref="E52:E57" name="Range9"/>
    <protectedRange sqref="B31:D36" name="Range4"/>
    <protectedRange sqref="C19:C29" name="Range3"/>
    <protectedRange sqref="H3" name="Range2"/>
    <protectedRange sqref="B4:D13" name="Range1"/>
    <protectedRange sqref="C42:C51" name="Range5"/>
    <protectedRange sqref="E42:E51" name="Range6"/>
    <protectedRange sqref="G42:G51" name="Range7"/>
    <protectedRange sqref="I42:I51" name="Range8"/>
    <protectedRange sqref="D19:D28" name="Range11"/>
  </protectedRanges>
  <mergeCells count="14">
    <mergeCell ref="G5:G8"/>
    <mergeCell ref="H5:H8"/>
    <mergeCell ref="G17:G18"/>
    <mergeCell ref="H17:H18"/>
    <mergeCell ref="A17:A18"/>
    <mergeCell ref="B17:B18"/>
    <mergeCell ref="C17:C18"/>
    <mergeCell ref="D17:D18"/>
    <mergeCell ref="C59:F59"/>
    <mergeCell ref="G59:J59"/>
    <mergeCell ref="G40:J40"/>
    <mergeCell ref="E17:E18"/>
    <mergeCell ref="F17:F18"/>
    <mergeCell ref="C40:F40"/>
  </mergeCells>
  <phoneticPr fontId="0" type="noConversion"/>
  <conditionalFormatting sqref="C4:D13">
    <cfRule type="cellIs" dxfId="53" priority="7" stopIfTrue="1" operator="greaterThan">
      <formula>0</formula>
    </cfRule>
  </conditionalFormatting>
  <conditionalFormatting sqref="C19:D28">
    <cfRule type="cellIs" dxfId="52" priority="6" stopIfTrue="1" operator="greaterThan">
      <formula>0</formula>
    </cfRule>
  </conditionalFormatting>
  <conditionalFormatting sqref="C31:D35">
    <cfRule type="cellIs" dxfId="51" priority="5" stopIfTrue="1" operator="greaterThan">
      <formula>0</formula>
    </cfRule>
  </conditionalFormatting>
  <conditionalFormatting sqref="C42:C51">
    <cfRule type="cellIs" dxfId="50" priority="4" stopIfTrue="1" operator="greaterThan">
      <formula>0</formula>
    </cfRule>
  </conditionalFormatting>
  <conditionalFormatting sqref="E42:E57">
    <cfRule type="cellIs" dxfId="49" priority="3" stopIfTrue="1" operator="greaterThan">
      <formula>0</formula>
    </cfRule>
  </conditionalFormatting>
  <conditionalFormatting sqref="G42:G51">
    <cfRule type="cellIs" dxfId="48" priority="2" stopIfTrue="1" operator="greaterThan">
      <formula>0</formula>
    </cfRule>
  </conditionalFormatting>
  <conditionalFormatting sqref="I42:I57">
    <cfRule type="cellIs" dxfId="47" priority="1" stopIfTrue="1" operator="greaterThan">
      <formula>0</formula>
    </cfRule>
  </conditionalFormatting>
  <dataValidations count="3">
    <dataValidation type="list" allowBlank="1" showInputMessage="1" showErrorMessage="1" sqref="F30" xr:uid="{00000000-0002-0000-0C00-000000000000}">
      <formula1>$F$63:$F$66</formula1>
    </dataValidation>
    <dataValidation type="list" allowBlank="1" showInputMessage="1" showErrorMessage="1" sqref="B31:B35" xr:uid="{00000000-0002-0000-0C00-000001000000}">
      <formula1>$B$63:$B$71</formula1>
    </dataValidation>
    <dataValidation type="list" allowBlank="1" showInputMessage="1" showErrorMessage="1" sqref="H3" xr:uid="{00000000-0002-0000-0C00-000002000000}">
      <formula1>$H$63:$H$71</formula1>
    </dataValidation>
  </dataValidations>
  <pageMargins left="0.25" right="0" top="0.5" bottom="0.5" header="0.5" footer="0.5"/>
  <pageSetup paperSize="5"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V51"/>
  <sheetViews>
    <sheetView topLeftCell="A28" zoomScaleNormal="100" workbookViewId="0">
      <selection activeCell="E6" sqref="E6"/>
    </sheetView>
  </sheetViews>
  <sheetFormatPr defaultRowHeight="12.75" x14ac:dyDescent="0.2"/>
  <cols>
    <col min="1" max="1" width="73.140625" style="328" customWidth="1"/>
    <col min="2" max="11" width="10.7109375" style="341" customWidth="1"/>
    <col min="12" max="21" width="10.7109375" style="328" customWidth="1"/>
    <col min="22" max="22" width="6.42578125" style="328" customWidth="1"/>
    <col min="23" max="16384" width="9.140625" style="328"/>
  </cols>
  <sheetData>
    <row r="1" spans="1:22" s="322" customFormat="1" x14ac:dyDescent="0.2">
      <c r="A1" s="659"/>
      <c r="B1" s="660"/>
      <c r="C1" s="661"/>
      <c r="D1" s="661"/>
      <c r="E1" s="661"/>
      <c r="F1" s="661"/>
      <c r="G1" s="661"/>
      <c r="H1" s="661"/>
      <c r="I1" s="661"/>
      <c r="J1" s="661"/>
      <c r="K1" s="661"/>
      <c r="L1" s="662"/>
      <c r="M1" s="662"/>
      <c r="N1" s="662"/>
      <c r="O1" s="662"/>
      <c r="P1" s="662"/>
      <c r="Q1" s="662"/>
      <c r="R1" s="662"/>
      <c r="S1" s="662"/>
      <c r="T1" s="662"/>
      <c r="U1" s="662"/>
      <c r="V1" s="662"/>
    </row>
    <row r="2" spans="1:22" s="325" customFormat="1" x14ac:dyDescent="0.2">
      <c r="A2" s="323" t="s">
        <v>443</v>
      </c>
      <c r="B2" s="324">
        <f>'Oper.St.'!C11</f>
        <v>2020</v>
      </c>
      <c r="C2" s="324">
        <f>'Oper.St.'!D11</f>
        <v>2021</v>
      </c>
      <c r="D2" s="324">
        <f>'Oper.St.'!E11</f>
        <v>2022</v>
      </c>
      <c r="E2" s="324">
        <f>'Oper.St.'!F11</f>
        <v>2023</v>
      </c>
      <c r="F2" s="324">
        <f>'Oper.St.'!G11</f>
        <v>2024</v>
      </c>
      <c r="G2" s="324">
        <f>'Oper.St.'!H11</f>
        <v>2025</v>
      </c>
      <c r="H2" s="324">
        <f>'Oper.St.'!I11</f>
        <v>2026</v>
      </c>
      <c r="I2" s="324">
        <f>'Oper.St.'!J11</f>
        <v>2027</v>
      </c>
      <c r="J2" s="324">
        <f>'Oper.St.'!K11</f>
        <v>2028</v>
      </c>
      <c r="K2" s="324">
        <f>'Oper.St.'!L11</f>
        <v>2029</v>
      </c>
      <c r="L2" s="324">
        <f>'Oper.St.'!M11</f>
        <v>2030</v>
      </c>
      <c r="M2" s="324">
        <f>'Oper.St.'!N11</f>
        <v>2031</v>
      </c>
      <c r="N2" s="324">
        <f>'Oper.St.'!O11</f>
        <v>2032</v>
      </c>
      <c r="O2" s="324">
        <f>'Oper.St.'!P11</f>
        <v>2033</v>
      </c>
      <c r="P2" s="324">
        <f>'Oper.St.'!Q11</f>
        <v>2034</v>
      </c>
      <c r="Q2" s="324">
        <f>'Oper.St.'!R11</f>
        <v>2035</v>
      </c>
      <c r="R2" s="324">
        <f>'Oper.St.'!S11</f>
        <v>2036</v>
      </c>
      <c r="S2" s="324">
        <f>'Oper.St.'!T11</f>
        <v>2037</v>
      </c>
      <c r="T2" s="324">
        <f>'Oper.St.'!U11</f>
        <v>2038</v>
      </c>
      <c r="U2" s="324">
        <f>'Oper.St.'!V11</f>
        <v>2039</v>
      </c>
      <c r="V2" s="669"/>
    </row>
    <row r="3" spans="1:22" s="325" customFormat="1" x14ac:dyDescent="0.2">
      <c r="A3" s="323"/>
      <c r="B3" s="324" t="str">
        <f>'Oper.St.'!C12</f>
        <v>AUD.</v>
      </c>
      <c r="C3" s="324" t="str">
        <f>'Oper.St.'!D12</f>
        <v>AUD.</v>
      </c>
      <c r="D3" s="324" t="str">
        <f>'Oper.St.'!E12</f>
        <v>AUD.</v>
      </c>
      <c r="E3" s="324" t="str">
        <f>'Oper.St.'!F12</f>
        <v>EST.</v>
      </c>
      <c r="F3" s="324" t="str">
        <f>'Oper.St.'!G12</f>
        <v>PROJ.</v>
      </c>
      <c r="G3" s="324" t="str">
        <f>'Oper.St.'!H12</f>
        <v>PROJ.</v>
      </c>
      <c r="H3" s="324" t="str">
        <f>'Oper.St.'!I12</f>
        <v>PROJ.</v>
      </c>
      <c r="I3" s="324" t="str">
        <f>'Oper.St.'!J12</f>
        <v>PROJ.</v>
      </c>
      <c r="J3" s="324" t="str">
        <f>'Oper.St.'!K12</f>
        <v>PROJ.</v>
      </c>
      <c r="K3" s="324" t="str">
        <f>'Oper.St.'!L12</f>
        <v>PROJ.</v>
      </c>
      <c r="L3" s="324" t="str">
        <f>'Oper.St.'!M12</f>
        <v>PROJ.</v>
      </c>
      <c r="M3" s="324" t="str">
        <f>'Oper.St.'!N12</f>
        <v>PROJ.</v>
      </c>
      <c r="N3" s="324" t="str">
        <f>'Oper.St.'!O12</f>
        <v>PROJ.</v>
      </c>
      <c r="O3" s="324" t="str">
        <f>'Oper.St.'!P12</f>
        <v>PROJ.</v>
      </c>
      <c r="P3" s="324" t="str">
        <f>'Oper.St.'!Q12</f>
        <v>PROJ.</v>
      </c>
      <c r="Q3" s="324" t="str">
        <f>'Oper.St.'!R12</f>
        <v>PROJ.</v>
      </c>
      <c r="R3" s="324" t="str">
        <f>'Oper.St.'!S12</f>
        <v>PROJ.</v>
      </c>
      <c r="S3" s="324" t="str">
        <f>'Oper.St.'!T12</f>
        <v>PROJ.</v>
      </c>
      <c r="T3" s="324" t="str">
        <f>'Oper.St.'!U12</f>
        <v>PROJ.</v>
      </c>
      <c r="U3" s="324" t="str">
        <f>'Oper.St.'!V12</f>
        <v>PROJ.</v>
      </c>
      <c r="V3" s="669"/>
    </row>
    <row r="4" spans="1:22" x14ac:dyDescent="0.2">
      <c r="A4" s="326" t="s">
        <v>45</v>
      </c>
      <c r="B4" s="327">
        <f>IF(ISERROR('Oper.St.'!C91),"",IF('Oper.St.'!C91=0,"",'Oper.St.'!C91))</f>
        <v>9.9999999999999978E-2</v>
      </c>
      <c r="C4" s="327">
        <f>IF(ISERROR('Oper.St.'!D91),"",IF('Oper.St.'!D91=0,"",'Oper.St.'!D91))</f>
        <v>0.13</v>
      </c>
      <c r="D4" s="327">
        <f>IF(ISERROR('Oper.St.'!E91),"",IF('Oper.St.'!E91=0,"",'Oper.St.'!E91))</f>
        <v>0.38000000000000017</v>
      </c>
      <c r="E4" s="327">
        <f>IF(ISERROR('Oper.St.'!F91),"",IF('Oper.St.'!F91=0,"",'Oper.St.'!F91))</f>
        <v>0.30999999999999983</v>
      </c>
      <c r="F4" s="327">
        <f>IF(ISERROR('Oper.St.'!G91),"",IF('Oper.St.'!G91=0,"",'Oper.St.'!G91))</f>
        <v>0.80000000000000038</v>
      </c>
      <c r="G4" s="327">
        <f>IF(ISERROR('Oper.St.'!H91),"",IF('Oper.St.'!H91=0,"",'Oper.St.'!H91))</f>
        <v>1.7107250000000023</v>
      </c>
      <c r="H4" s="327">
        <f>IF(ISERROR('Oper.St.'!I91),"",IF('Oper.St.'!I91=0,"",'Oper.St.'!I91))</f>
        <v>2.3248700000000015</v>
      </c>
      <c r="I4" s="327">
        <f>IF(ISERROR('Oper.St.'!J91),"",IF('Oper.St.'!J91=0,"",'Oper.St.'!J91))</f>
        <v>2.6024674999999999</v>
      </c>
      <c r="J4" s="327">
        <f>IF(ISERROR('Oper.St.'!K91),"",IF('Oper.St.'!K91=0,"",'Oper.St.'!K91))</f>
        <v>2.8586849999999941</v>
      </c>
      <c r="K4" s="327">
        <f>IF(ISERROR('Oper.St.'!L91),"",IF('Oper.St.'!L91=0,"",'Oper.St.'!L91))</f>
        <v>3.169150000000001</v>
      </c>
      <c r="L4" s="327">
        <f>IF(ISERROR('Oper.St.'!M91),"",IF('Oper.St.'!M91=0,"",'Oper.St.'!M91))</f>
        <v>3.6418124999999986</v>
      </c>
      <c r="M4" s="327" t="str">
        <f>IF(ISERROR('Oper.St.'!N91),"",IF('Oper.St.'!N91=0,"",'Oper.St.'!N91))</f>
        <v/>
      </c>
      <c r="N4" s="327" t="str">
        <f>IF(ISERROR('Oper.St.'!O91),"",IF('Oper.St.'!O91=0,"",'Oper.St.'!O91))</f>
        <v/>
      </c>
      <c r="O4" s="327" t="str">
        <f>IF(ISERROR('Oper.St.'!P91),"",IF('Oper.St.'!P91=0,"",'Oper.St.'!P91))</f>
        <v/>
      </c>
      <c r="P4" s="327" t="str">
        <f>IF(ISERROR('Oper.St.'!Q91),"",IF('Oper.St.'!Q91=0,"",'Oper.St.'!Q91))</f>
        <v/>
      </c>
      <c r="Q4" s="327" t="str">
        <f>IF(ISERROR('Oper.St.'!R91),"",IF('Oper.St.'!R91=0,"",'Oper.St.'!R91))</f>
        <v/>
      </c>
      <c r="R4" s="327" t="str">
        <f>IF(ISERROR('Oper.St.'!S91),"",IF('Oper.St.'!S91=0,"",'Oper.St.'!S91))</f>
        <v/>
      </c>
      <c r="S4" s="327" t="str">
        <f>IF(ISERROR('Oper.St.'!T91),"",IF('Oper.St.'!T91=0,"",'Oper.St.'!T91))</f>
        <v/>
      </c>
      <c r="T4" s="327" t="str">
        <f>IF(ISERROR('Oper.St.'!U91),"",IF('Oper.St.'!U91=0,"",'Oper.St.'!U91))</f>
        <v/>
      </c>
      <c r="U4" s="327" t="str">
        <f>IF(ISERROR('Oper.St.'!V91),"",IF('Oper.St.'!V91=0,"",'Oper.St.'!V91))</f>
        <v/>
      </c>
      <c r="V4" s="665"/>
    </row>
    <row r="5" spans="1:22" x14ac:dyDescent="0.2">
      <c r="A5" s="329" t="s">
        <v>446</v>
      </c>
      <c r="B5" s="327"/>
      <c r="C5" s="327"/>
      <c r="D5" s="327"/>
      <c r="E5" s="327"/>
      <c r="F5" s="327"/>
      <c r="G5" s="327"/>
      <c r="H5" s="327"/>
      <c r="I5" s="327"/>
      <c r="J5" s="327"/>
      <c r="K5" s="327"/>
      <c r="L5" s="327"/>
      <c r="M5" s="327"/>
      <c r="N5" s="327"/>
      <c r="O5" s="327"/>
      <c r="P5" s="327"/>
      <c r="Q5" s="327"/>
      <c r="R5" s="327"/>
      <c r="S5" s="327"/>
      <c r="T5" s="327"/>
      <c r="U5" s="327"/>
      <c r="V5" s="665"/>
    </row>
    <row r="6" spans="1:22" x14ac:dyDescent="0.2">
      <c r="A6" s="330" t="s">
        <v>444</v>
      </c>
      <c r="B6" s="327" t="str">
        <f>IF(ISERROR('Oper.St.'!C73),"",IF('Oper.St.'!C73=0,"",'Oper.St.'!C73))</f>
        <v/>
      </c>
      <c r="C6" s="327" t="str">
        <f>IF(ISERROR('Oper.St.'!D73),"",IF('Oper.St.'!D73=0,"",'Oper.St.'!D73))</f>
        <v/>
      </c>
      <c r="D6" s="327">
        <f>IF(ISERROR('Oper.St.'!E73),"",IF('Oper.St.'!E73=0,"",'Oper.St.'!E73))</f>
        <v>0.05</v>
      </c>
      <c r="E6" s="327">
        <f>IF(ISERROR('Oper.St.'!F73),"",IF('Oper.St.'!F73=0,"",'Oper.St.'!F73))</f>
        <v>0.47</v>
      </c>
      <c r="F6" s="327">
        <f>IF(ISERROR('Oper.St.'!G73),"",IF('Oper.St.'!G73=0,"",'Oper.St.'!G73))</f>
        <v>0.91</v>
      </c>
      <c r="G6" s="327">
        <f>IF(ISERROR('Oper.St.'!H73),"",IF('Oper.St.'!H73=0,"",'Oper.St.'!H73))</f>
        <v>1.1492750000000003</v>
      </c>
      <c r="H6" s="327">
        <f>IF(ISERROR('Oper.St.'!I73),"",IF('Oper.St.'!I73=0,"",'Oper.St.'!I73))</f>
        <v>0.96513000000000082</v>
      </c>
      <c r="I6" s="327">
        <f>IF(ISERROR('Oper.St.'!J73),"",IF('Oper.St.'!J73=0,"",'Oper.St.'!J73))</f>
        <v>0.83753250000000101</v>
      </c>
      <c r="J6" s="327">
        <f>IF(ISERROR('Oper.St.'!K73),"",IF('Oper.St.'!K73=0,"",'Oper.St.'!K73))</f>
        <v>0.681315000000001</v>
      </c>
      <c r="K6" s="327">
        <f>IF(ISERROR('Oper.St.'!L73),"",IF('Oper.St.'!L73=0,"",'Oper.St.'!L73))</f>
        <v>0.50085000000000091</v>
      </c>
      <c r="L6" s="327">
        <f>IF(ISERROR('Oper.St.'!M73),"",IF('Oper.St.'!M73=0,"",'Oper.St.'!M73))</f>
        <v>0.28818750000000093</v>
      </c>
      <c r="M6" s="327" t="str">
        <f>IF(ISERROR('Oper.St.'!N73),"",IF('Oper.St.'!N73=0,"",'Oper.St.'!N73))</f>
        <v/>
      </c>
      <c r="N6" s="327" t="str">
        <f>IF(ISERROR('Oper.St.'!O73),"",IF('Oper.St.'!O73=0,"",'Oper.St.'!O73))</f>
        <v/>
      </c>
      <c r="O6" s="327" t="str">
        <f>IF(ISERROR('Oper.St.'!P73),"",IF('Oper.St.'!P73=0,"",'Oper.St.'!P73))</f>
        <v/>
      </c>
      <c r="P6" s="327" t="str">
        <f>IF(ISERROR('Oper.St.'!Q73),"",IF('Oper.St.'!Q73=0,"",'Oper.St.'!Q73))</f>
        <v/>
      </c>
      <c r="Q6" s="327" t="str">
        <f>IF(ISERROR('Oper.St.'!R73),"",IF('Oper.St.'!R73=0,"",'Oper.St.'!R73))</f>
        <v/>
      </c>
      <c r="R6" s="327" t="str">
        <f>IF(ISERROR('Oper.St.'!S73),"",IF('Oper.St.'!S73=0,"",'Oper.St.'!S73))</f>
        <v/>
      </c>
      <c r="S6" s="327" t="str">
        <f>IF(ISERROR('Oper.St.'!T73),"",IF('Oper.St.'!T73=0,"",'Oper.St.'!T73))</f>
        <v/>
      </c>
      <c r="T6" s="327" t="str">
        <f>IF(ISERROR('Oper.St.'!U73),"",IF('Oper.St.'!U73=0,"",'Oper.St.'!U73))</f>
        <v/>
      </c>
      <c r="U6" s="327" t="str">
        <f>IF(ISERROR('Oper.St.'!V73),"",IF('Oper.St.'!V73=0,"",'Oper.St.'!V73))</f>
        <v/>
      </c>
      <c r="V6" s="665"/>
    </row>
    <row r="7" spans="1:22" s="300" customFormat="1" x14ac:dyDescent="0.2">
      <c r="A7" s="331" t="s">
        <v>772</v>
      </c>
      <c r="B7" s="73">
        <f>IF(ISERROR('Oper.St.'!C47),"",IF('Oper.St.'!C47=0,"",'Oper.St.'!C47))</f>
        <v>0.03</v>
      </c>
      <c r="C7" s="73">
        <f>IF(ISERROR('Oper.St.'!D47+INPUT!D16),"",IF('Oper.St.'!D47+INPUT!D16=0,"",'Oper.St.'!D47+INPUT!D16))</f>
        <v>0.02</v>
      </c>
      <c r="D7" s="73">
        <f>IF(ISERROR('Oper.St.'!E47+INPUT!E16),"",IF('Oper.St.'!E47+INPUT!E16=0,"",'Oper.St.'!E47+INPUT!E16))</f>
        <v>0.02</v>
      </c>
      <c r="E7" s="73">
        <f>IF(ISERROR('Oper.St.'!F47+INPUT!F16),"",IF('Oper.St.'!F47+INPUT!F16=0,"",'Oper.St.'!F47+INPUT!F16))</f>
        <v>0.02</v>
      </c>
      <c r="F7" s="73">
        <f>IF(ISERROR('Oper.St.'!G47+INPUT!G16),"",IF('Oper.St.'!G47+INPUT!G16=0,"",'Oper.St.'!G47+INPUT!G16))</f>
        <v>1.57</v>
      </c>
      <c r="G7" s="73">
        <f>IF(ISERROR('Oper.St.'!H47+INPUT!H16),"",IF('Oper.St.'!H47+INPUT!H16=0,"",'Oper.St.'!H47+INPUT!H16))</f>
        <v>2.48</v>
      </c>
      <c r="H7" s="73">
        <f>IF(ISERROR('Oper.St.'!I47+INPUT!I16),"",IF('Oper.St.'!I47+INPUT!I16=0,"",'Oper.St.'!I47+INPUT!I16))</f>
        <v>2.16</v>
      </c>
      <c r="I7" s="73">
        <f>IF(ISERROR('Oper.St.'!J47+INPUT!J16),"",IF('Oper.St.'!J47+INPUT!J16=0,"",'Oper.St.'!J47+INPUT!J16))</f>
        <v>1.88</v>
      </c>
      <c r="J7" s="73">
        <f>IF(ISERROR('Oper.St.'!K47+INPUT!K16),"",IF('Oper.St.'!K47+INPUT!K16=0,"",'Oper.St.'!K47+INPUT!K16))</f>
        <v>1.64</v>
      </c>
      <c r="K7" s="73">
        <f>IF(ISERROR('Oper.St.'!L47+INPUT!L16),"",IF('Oper.St.'!L47+INPUT!L16=0,"",'Oper.St.'!L47+INPUT!L16))</f>
        <v>1.43</v>
      </c>
      <c r="L7" s="73">
        <f>IF(ISERROR('Oper.St.'!M47+INPUT!M16),"",IF('Oper.St.'!M47+INPUT!M16=0,"",'Oper.St.'!M47+INPUT!M16))</f>
        <v>1.24</v>
      </c>
      <c r="M7" s="73" t="str">
        <f>IF(ISERROR('Oper.St.'!N47+INPUT!N16),"",IF('Oper.St.'!N47+INPUT!N16=0,"",'Oper.St.'!N47+INPUT!N16))</f>
        <v/>
      </c>
      <c r="N7" s="73" t="str">
        <f>IF(ISERROR('Oper.St.'!O47+INPUT!O16),"",IF('Oper.St.'!O47+INPUT!O16=0,"",'Oper.St.'!O47+INPUT!O16))</f>
        <v/>
      </c>
      <c r="O7" s="73" t="str">
        <f>IF(ISERROR('Oper.St.'!P47+INPUT!P16),"",IF('Oper.St.'!P47+INPUT!P16=0,"",'Oper.St.'!P47+INPUT!P16))</f>
        <v/>
      </c>
      <c r="P7" s="73" t="str">
        <f>IF(ISERROR('Oper.St.'!Q47+INPUT!Q16),"",IF('Oper.St.'!Q47+INPUT!Q16=0,"",'Oper.St.'!Q47+INPUT!Q16))</f>
        <v/>
      </c>
      <c r="Q7" s="73" t="str">
        <f>IF(ISERROR('Oper.St.'!R47+INPUT!R16),"",IF('Oper.St.'!R47+INPUT!R16=0,"",'Oper.St.'!R47+INPUT!R16))</f>
        <v/>
      </c>
      <c r="R7" s="73" t="str">
        <f>IF(ISERROR('Oper.St.'!S47+INPUT!S16),"",IF('Oper.St.'!S47+INPUT!S16=0,"",'Oper.St.'!S47+INPUT!S16))</f>
        <v/>
      </c>
      <c r="S7" s="73" t="str">
        <f>IF(ISERROR('Oper.St.'!T47+INPUT!T16),"",IF('Oper.St.'!T47+INPUT!T16=0,"",'Oper.St.'!T47+INPUT!T16))</f>
        <v/>
      </c>
      <c r="T7" s="73" t="str">
        <f>IF(ISERROR('Oper.St.'!U47+INPUT!U16),"",IF('Oper.St.'!U47+INPUT!U16=0,"",'Oper.St.'!U47+INPUT!U16))</f>
        <v/>
      </c>
      <c r="U7" s="73" t="str">
        <f>IF(ISERROR('Oper.St.'!V47+INPUT!V16),"",IF('Oper.St.'!V47+INPUT!V16=0,"",'Oper.St.'!V47+INPUT!V16))</f>
        <v/>
      </c>
      <c r="V7" s="625"/>
    </row>
    <row r="8" spans="1:22" x14ac:dyDescent="0.2">
      <c r="A8" s="331" t="s">
        <v>603</v>
      </c>
      <c r="B8" s="327" t="str">
        <f>IF(ISERROR('Oper.St.'!C88),"",IF('Oper.St.'!C88=0,"",'Oper.St.'!C88))</f>
        <v/>
      </c>
      <c r="C8" s="327" t="str">
        <f>IF(ISERROR('Oper.St.'!D88),"",IF('Oper.St.'!D88=0,"",'Oper.St.'!D88))</f>
        <v/>
      </c>
      <c r="D8" s="327" t="str">
        <f>IF(ISERROR('Oper.St.'!E88),"",IF('Oper.St.'!E88=0,"",'Oper.St.'!E88))</f>
        <v/>
      </c>
      <c r="E8" s="327" t="str">
        <f>IF(ISERROR('Oper.St.'!F88),"",IF('Oper.St.'!F88=0,"",'Oper.St.'!F88))</f>
        <v/>
      </c>
      <c r="F8" s="327">
        <f>IF(ISERROR('Oper.St.'!G88),"",IF('Oper.St.'!G88=0,"",'Oper.St.'!G88))</f>
        <v>0.02</v>
      </c>
      <c r="G8" s="327">
        <f>IF(ISERROR('Oper.St.'!H88),"",IF('Oper.St.'!H88=0,"",'Oper.St.'!H88))</f>
        <v>0.02</v>
      </c>
      <c r="H8" s="327">
        <f>IF(ISERROR('Oper.St.'!I88),"",IF('Oper.St.'!I88=0,"",'Oper.St.'!I88))</f>
        <v>0.02</v>
      </c>
      <c r="I8" s="327">
        <f>IF(ISERROR('Oper.St.'!J88),"",IF('Oper.St.'!J88=0,"",'Oper.St.'!J88))</f>
        <v>0.02</v>
      </c>
      <c r="J8" s="327">
        <f>IF(ISERROR('Oper.St.'!K88),"",IF('Oper.St.'!K88=0,"",'Oper.St.'!K88))</f>
        <v>0.02</v>
      </c>
      <c r="K8" s="327" t="str">
        <f>IF(ISERROR('Oper.St.'!L88),"",IF('Oper.St.'!L88=0,"",'Oper.St.'!L88))</f>
        <v/>
      </c>
      <c r="L8" s="327" t="str">
        <f>IF(ISERROR('Oper.St.'!M88),"",IF('Oper.St.'!M88=0,"",'Oper.St.'!M88))</f>
        <v/>
      </c>
      <c r="M8" s="327" t="str">
        <f>IF(ISERROR('Oper.St.'!N88),"",IF('Oper.St.'!N88=0,"",'Oper.St.'!N88))</f>
        <v/>
      </c>
      <c r="N8" s="327" t="str">
        <f>IF(ISERROR('Oper.St.'!O88),"",IF('Oper.St.'!O88=0,"",'Oper.St.'!O88))</f>
        <v/>
      </c>
      <c r="O8" s="327" t="str">
        <f>IF(ISERROR('Oper.St.'!P88),"",IF('Oper.St.'!P88=0,"",'Oper.St.'!P88))</f>
        <v/>
      </c>
      <c r="P8" s="327" t="str">
        <f>IF(ISERROR('Oper.St.'!Q88),"",IF('Oper.St.'!Q88=0,"",'Oper.St.'!Q88))</f>
        <v/>
      </c>
      <c r="Q8" s="327" t="str">
        <f>IF(ISERROR('Oper.St.'!R88),"",IF('Oper.St.'!R88=0,"",'Oper.St.'!R88))</f>
        <v/>
      </c>
      <c r="R8" s="327" t="str">
        <f>IF(ISERROR('Oper.St.'!S88),"",IF('Oper.St.'!S88=0,"",'Oper.St.'!S88))</f>
        <v/>
      </c>
      <c r="S8" s="327" t="str">
        <f>IF(ISERROR('Oper.St.'!T88),"",IF('Oper.St.'!T88=0,"",'Oper.St.'!T88))</f>
        <v/>
      </c>
      <c r="T8" s="327" t="str">
        <f>IF(ISERROR('Oper.St.'!U88),"",IF('Oper.St.'!U88=0,"",'Oper.St.'!U88))</f>
        <v/>
      </c>
      <c r="U8" s="327" t="str">
        <f>IF(ISERROR('Oper.St.'!V88),"",IF('Oper.St.'!V88=0,"",'Oper.St.'!V88))</f>
        <v/>
      </c>
      <c r="V8" s="665"/>
    </row>
    <row r="9" spans="1:22" s="333" customFormat="1" x14ac:dyDescent="0.2">
      <c r="A9" s="326" t="s">
        <v>605</v>
      </c>
      <c r="B9" s="332">
        <f>SUM(B4:B8)</f>
        <v>0.12999999999999998</v>
      </c>
      <c r="C9" s="332">
        <f>SUM(C4:C8)</f>
        <v>0.15</v>
      </c>
      <c r="D9" s="332">
        <f t="shared" ref="D9:U9" si="0">SUM(D4:D8)</f>
        <v>0.45000000000000018</v>
      </c>
      <c r="E9" s="332">
        <f t="shared" si="0"/>
        <v>0.79999999999999982</v>
      </c>
      <c r="F9" s="332">
        <f t="shared" si="0"/>
        <v>3.3000000000000003</v>
      </c>
      <c r="G9" s="332">
        <f t="shared" si="0"/>
        <v>5.3600000000000021</v>
      </c>
      <c r="H9" s="332">
        <f t="shared" si="0"/>
        <v>5.4700000000000024</v>
      </c>
      <c r="I9" s="332">
        <f t="shared" si="0"/>
        <v>5.34</v>
      </c>
      <c r="J9" s="332">
        <f t="shared" si="0"/>
        <v>5.1999999999999948</v>
      </c>
      <c r="K9" s="332">
        <f t="shared" si="0"/>
        <v>5.1000000000000014</v>
      </c>
      <c r="L9" s="332">
        <f t="shared" si="0"/>
        <v>5.17</v>
      </c>
      <c r="M9" s="332">
        <f t="shared" si="0"/>
        <v>0</v>
      </c>
      <c r="N9" s="332">
        <f t="shared" si="0"/>
        <v>0</v>
      </c>
      <c r="O9" s="332">
        <f t="shared" si="0"/>
        <v>0</v>
      </c>
      <c r="P9" s="332">
        <f t="shared" si="0"/>
        <v>0</v>
      </c>
      <c r="Q9" s="332">
        <f t="shared" si="0"/>
        <v>0</v>
      </c>
      <c r="R9" s="332">
        <f t="shared" si="0"/>
        <v>0</v>
      </c>
      <c r="S9" s="332">
        <f t="shared" si="0"/>
        <v>0</v>
      </c>
      <c r="T9" s="332">
        <f t="shared" si="0"/>
        <v>0</v>
      </c>
      <c r="U9" s="332">
        <f t="shared" si="0"/>
        <v>0</v>
      </c>
      <c r="V9" s="668"/>
    </row>
    <row r="10" spans="1:22" x14ac:dyDescent="0.2">
      <c r="A10" s="329" t="s">
        <v>446</v>
      </c>
      <c r="B10" s="327"/>
      <c r="C10" s="327"/>
      <c r="D10" s="327"/>
      <c r="E10" s="327"/>
      <c r="F10" s="327"/>
      <c r="G10" s="327"/>
      <c r="H10" s="327"/>
      <c r="I10" s="327"/>
      <c r="J10" s="327"/>
      <c r="K10" s="327"/>
      <c r="L10" s="327"/>
      <c r="M10" s="327"/>
      <c r="N10" s="327"/>
      <c r="O10" s="327"/>
      <c r="P10" s="327"/>
      <c r="Q10" s="327"/>
      <c r="R10" s="327"/>
      <c r="S10" s="327"/>
      <c r="T10" s="327"/>
      <c r="U10" s="327"/>
      <c r="V10" s="665"/>
    </row>
    <row r="11" spans="1:22" x14ac:dyDescent="0.2">
      <c r="A11" s="331" t="s">
        <v>770</v>
      </c>
      <c r="B11" s="334">
        <v>0</v>
      </c>
      <c r="C11" s="327">
        <f>IF(ISERROR(Asset!C24+Asset!C26+SUM(Asset!C75:C76)-Asset!D24-Asset!D26-SUM(Asset!D75:D76)),"",IF(Asset!C24+Asset!C26+SUM(Asset!C75:C76)-Asset!D24-Asset!D26-SUM(Asset!D75:D76)=0,"",Asset!C24+Asset!C26+SUM(Asset!C75:C76)-Asset!D24-Asset!D26-SUM(Asset!D75:D76)))</f>
        <v>-9.0000000000000011E-2</v>
      </c>
      <c r="D11" s="327">
        <f>IF(ISERROR(Asset!D24+Asset!D26+SUM(Asset!D75:D76)-Asset!E24-Asset!E26-SUM(Asset!E75:E76)),"",IF(Asset!D24+Asset!D26+SUM(Asset!D75:D76)-Asset!E24-Asset!E26-SUM(Asset!E75:E76)=0,"",Asset!D24+Asset!D26+SUM(Asset!D75:D76)-Asset!E24-Asset!E26-SUM(Asset!E75:E76)))</f>
        <v>-0.18999999999999997</v>
      </c>
      <c r="E11" s="327">
        <f>IF(ISERROR(Asset!E24+Asset!E26+SUM(Asset!E75:E76)-Asset!F24-Asset!F26-SUM(Asset!F75:F76)),"",IF(Asset!E24+Asset!E26+SUM(Asset!E75:E76)-Asset!F24-Asset!F26-SUM(Asset!F75:F76)=0,"",Asset!E24+Asset!E26+SUM(Asset!E75:E76)-Asset!F24-Asset!F26-SUM(Asset!F75:F76)))</f>
        <v>-0.31</v>
      </c>
      <c r="F11" s="327">
        <f>IF(ISERROR(Asset!F24+Asset!F26+SUM(Asset!F75:F76)-Asset!G24-Asset!G26-SUM(Asset!G75:G76)),"",IF(Asset!F24+Asset!F26+SUM(Asset!F75:F76)-Asset!G24-Asset!G26-SUM(Asset!G75:G76)=0,"",Asset!F24+Asset!F26+SUM(Asset!F75:F76)-Asset!G24-Asset!G26-SUM(Asset!G75:G76)))</f>
        <v>-1.9</v>
      </c>
      <c r="G11" s="327">
        <f>IF(ISERROR(Asset!G24+Asset!G26+SUM(Asset!G75:G76)-Asset!H24-Asset!H26-SUM(Asset!H75:H76)),"",IF(Asset!G24+Asset!G26+SUM(Asset!G75:G76)-Asset!H24-Asset!H26-SUM(Asset!H75:H76)=0,"",Asset!G24+Asset!G26+SUM(Asset!G75:G76)-Asset!H24-Asset!H26-SUM(Asset!H75:H76)))</f>
        <v>-2.21</v>
      </c>
      <c r="H11" s="327">
        <f>IF(ISERROR(Asset!H24+Asset!H26+SUM(Asset!H75:H76)-Asset!I24-Asset!I26-SUM(Asset!I75:I76)),"",IF(Asset!H24+Asset!H26+SUM(Asset!H75:H76)-Asset!I24-Asset!I26-SUM(Asset!I75:I76)=0,"",Asset!H24+Asset!H26+SUM(Asset!H75:H76)-Asset!I24-Asset!I26-SUM(Asset!I75:I76)))</f>
        <v>-0.86000000000000032</v>
      </c>
      <c r="I11" s="327">
        <f>IF(ISERROR(Asset!I24+Asset!I26+SUM(Asset!I75:I76)-Asset!J24-Asset!J26-SUM(Asset!J75:J76)),"",IF(Asset!I24+Asset!I26+SUM(Asset!I75:I76)-Asset!J24-Asset!J26-SUM(Asset!J75:J76)=0,"",Asset!I24+Asset!I26+SUM(Asset!I75:I76)-Asset!J24-Asset!J26-SUM(Asset!J75:J76)))</f>
        <v>-0.42999999999999972</v>
      </c>
      <c r="J11" s="327">
        <f>IF(ISERROR(Asset!J24+Asset!J26+SUM(Asset!J75:J76)-Asset!K24-Asset!K26-SUM(Asset!K75:K76)),"",IF(Asset!J24+Asset!J26+SUM(Asset!J75:J76)-Asset!K24-Asset!K26-SUM(Asset!K75:K76)=0,"",Asset!J24+Asset!J26+SUM(Asset!J75:J76)-Asset!K24-Asset!K26-SUM(Asset!K75:K76)))</f>
        <v>-0.42999999999999972</v>
      </c>
      <c r="K11" s="327">
        <f>IF(ISERROR(Asset!K24+Asset!K26+SUM(Asset!K75:K76)-Asset!L24-Asset!L26-SUM(Asset!L75:L76)),"",IF(Asset!K24+Asset!K26+SUM(Asset!K75:K76)-Asset!L24-Asset!L26-SUM(Asset!L75:L76)=0,"",Asset!K24+Asset!K26+SUM(Asset!K75:K76)-Asset!L24-Asset!L26-SUM(Asset!L75:L76)))</f>
        <v>-0.4300000000000006</v>
      </c>
      <c r="L11" s="327">
        <f>IF(ISERROR(Asset!L24+Asset!L26+SUM(Asset!L75:L76)-Asset!M24-Asset!M26-SUM(Asset!M75:M76)),"",IF(Asset!L24+Asset!L26+SUM(Asset!L75:L76)-Asset!M24-Asset!M26-SUM(Asset!M75:M76)=0,"",Asset!L24+Asset!L26+SUM(Asset!L75:L76)-Asset!M24-Asset!M26-SUM(Asset!M75:M76)))</f>
        <v>-0.41999999999999993</v>
      </c>
      <c r="M11" s="327">
        <f>IF(ISERROR(Asset!M24+Asset!M26+SUM(Asset!M75:M76)-Asset!N24-Asset!N26-SUM(Asset!N75:N76)),"",IF(Asset!M24+Asset!M26+SUM(Asset!M75:M76)-Asset!N24-Asset!N26-SUM(Asset!N75:N76)=0,"",Asset!M24+Asset!M26+SUM(Asset!M75:M76)-Asset!N24-Asset!N26-SUM(Asset!N75:N76)))</f>
        <v>7.28</v>
      </c>
      <c r="N11" s="327" t="str">
        <f>IF(ISERROR(Asset!N24+Asset!N26+SUM(Asset!N75:N76)-Asset!O24-Asset!O26-SUM(Asset!O75:O76)),"",IF(Asset!N24+Asset!N26+SUM(Asset!N75:N76)-Asset!O24-Asset!O26-SUM(Asset!O75:O76)=0,"",Asset!N24+Asset!N26+SUM(Asset!N75:N76)-Asset!O24-Asset!O26-SUM(Asset!O75:O76)))</f>
        <v/>
      </c>
      <c r="O11" s="327" t="str">
        <f>IF(ISERROR(Asset!O24+Asset!O26+SUM(Asset!O75:O76)-Asset!P24-Asset!P26-SUM(Asset!P75:P76)),"",IF(Asset!O24+Asset!O26+SUM(Asset!O75:O76)-Asset!P24-Asset!P26-SUM(Asset!P75:P76)=0,"",Asset!O24+Asset!O26+SUM(Asset!O75:O76)-Asset!P24-Asset!P26-SUM(Asset!P75:P76)))</f>
        <v/>
      </c>
      <c r="P11" s="327" t="str">
        <f>IF(ISERROR(Asset!P24+Asset!P26+SUM(Asset!P75:P76)-Asset!Q24-Asset!Q26-SUM(Asset!Q75:Q76)),"",IF(Asset!P24+Asset!P26+SUM(Asset!P75:P76)-Asset!Q24-Asset!Q26-SUM(Asset!Q75:Q76)=0,"",Asset!P24+Asset!P26+SUM(Asset!P75:P76)-Asset!Q24-Asset!Q26-SUM(Asset!Q75:Q76)))</f>
        <v/>
      </c>
      <c r="Q11" s="327" t="str">
        <f>IF(ISERROR(Asset!Q24+Asset!Q26+SUM(Asset!Q75:Q76)-Asset!R24-Asset!R26-SUM(Asset!R75:R76)),"",IF(Asset!Q24+Asset!Q26+SUM(Asset!Q75:Q76)-Asset!R24-Asset!R26-SUM(Asset!R75:R76)=0,"",Asset!Q24+Asset!Q26+SUM(Asset!Q75:Q76)-Asset!R24-Asset!R26-SUM(Asset!R75:R76)))</f>
        <v/>
      </c>
      <c r="R11" s="327" t="str">
        <f>IF(ISERROR(Asset!R24+Asset!R26+SUM(Asset!R75:R76)-Asset!S24-Asset!S26-SUM(Asset!S75:S76)),"",IF(Asset!R24+Asset!R26+SUM(Asset!R75:R76)-Asset!S24-Asset!S26-SUM(Asset!S75:S76)=0,"",Asset!R24+Asset!R26+SUM(Asset!R75:R76)-Asset!S24-Asset!S26-SUM(Asset!S75:S76)))</f>
        <v/>
      </c>
      <c r="S11" s="327" t="str">
        <f>IF(ISERROR(Asset!S24+Asset!S26+SUM(Asset!S75:S76)-Asset!T24-Asset!T26-SUM(Asset!T75:T76)),"",IF(Asset!S24+Asset!S26+SUM(Asset!S75:S76)-Asset!T24-Asset!T26-SUM(Asset!T75:T76)=0,"",Asset!S24+Asset!S26+SUM(Asset!S75:S76)-Asset!T24-Asset!T26-SUM(Asset!T75:T76)))</f>
        <v/>
      </c>
      <c r="T11" s="327" t="str">
        <f>IF(ISERROR(Asset!T24+Asset!T26+SUM(Asset!T75:T76)-Asset!U24-Asset!U26-SUM(Asset!U75:U76)),"",IF(Asset!T24+Asset!T26+SUM(Asset!T75:T76)-Asset!U24-Asset!U26-SUM(Asset!U75:U76)=0,"",Asset!T24+Asset!T26+SUM(Asset!T75:T76)-Asset!U24-Asset!U26-SUM(Asset!U75:U76)))</f>
        <v/>
      </c>
      <c r="U11" s="327" t="str">
        <f>IF(ISERROR(Asset!U24+Asset!U26+SUM(Asset!U75:U76)-Asset!V24-Asset!V26-SUM(Asset!V75:V76)),"",IF(Asset!U24+Asset!U26+SUM(Asset!U75:U76)-Asset!V24-Asset!V26-SUM(Asset!V75:V76)=0,"",Asset!U24+Asset!U26+SUM(Asset!U75:U76)-Asset!V24-Asset!V26-SUM(Asset!V75:V76)))</f>
        <v/>
      </c>
      <c r="V11" s="665"/>
    </row>
    <row r="12" spans="1:22" s="300" customFormat="1" x14ac:dyDescent="0.2">
      <c r="A12" s="331" t="s">
        <v>773</v>
      </c>
      <c r="B12" s="334">
        <v>0</v>
      </c>
      <c r="C12" s="73" t="str">
        <f>IF(ISERROR(Asset!C40-Asset!D40),"",IF(Asset!C40-Asset!D40=0,"",Asset!C40-Asset!D40))</f>
        <v/>
      </c>
      <c r="D12" s="73" t="str">
        <f>IF(ISERROR(Asset!D40-Asset!E40),"",IF(Asset!D40-Asset!E40=0,"",Asset!D40-Asset!E40))</f>
        <v/>
      </c>
      <c r="E12" s="73" t="str">
        <f>IF(ISERROR(Asset!E40-Asset!F40),"",IF(Asset!E40-Asset!F40=0,"",Asset!E40-Asset!F40))</f>
        <v/>
      </c>
      <c r="F12" s="73">
        <f>IF(ISERROR(Asset!F40-Asset!G40),"",IF(Asset!F40-Asset!G40=0,"",Asset!F40-Asset!G40))</f>
        <v>-2</v>
      </c>
      <c r="G12" s="73">
        <f>IF(ISERROR(Asset!G40-Asset!H40),"",IF(Asset!G40-Asset!H40=0,"",Asset!G40-Asset!H40))</f>
        <v>-0.60000000000000009</v>
      </c>
      <c r="H12" s="73">
        <f>IF(ISERROR(Asset!H40-Asset!I40),"",IF(Asset!H40-Asset!I40=0,"",Asset!H40-Asset!I40))</f>
        <v>-1.4</v>
      </c>
      <c r="I12" s="73">
        <f>IF(ISERROR(Asset!I40-Asset!J40),"",IF(Asset!I40-Asset!J40=0,"",Asset!I40-Asset!J40))</f>
        <v>-0.5</v>
      </c>
      <c r="J12" s="73">
        <f>IF(ISERROR(Asset!J40-Asset!K40),"",IF(Asset!J40-Asset!K40=0,"",Asset!J40-Asset!K40))</f>
        <v>-0.5</v>
      </c>
      <c r="K12" s="73">
        <f>IF(ISERROR(Asset!K40-Asset!L40),"",IF(Asset!K40-Asset!L40=0,"",Asset!K40-Asset!L40))</f>
        <v>-0.25</v>
      </c>
      <c r="L12" s="73">
        <f>IF(ISERROR(Asset!L40-Asset!M40),"",IF(Asset!L40-Asset!M40=0,"",Asset!L40-Asset!M40))</f>
        <v>-4.9999999999999822E-2</v>
      </c>
      <c r="M12" s="73">
        <f>IF(ISERROR(Asset!M40-Asset!N40),"",IF(Asset!M40-Asset!N40=0,"",Asset!M40-Asset!N40))</f>
        <v>5.3</v>
      </c>
      <c r="N12" s="73" t="str">
        <f>IF(ISERROR(Asset!N40-Asset!O40),"",IF(Asset!N40-Asset!O40=0,"",Asset!N40-Asset!O40))</f>
        <v/>
      </c>
      <c r="O12" s="73" t="str">
        <f>IF(ISERROR(Asset!O40-Asset!P40),"",IF(Asset!O40-Asset!P40=0,"",Asset!O40-Asset!P40))</f>
        <v/>
      </c>
      <c r="P12" s="73" t="str">
        <f>IF(ISERROR(Asset!P40-Asset!Q40),"",IF(Asset!P40-Asset!Q40=0,"",Asset!P40-Asset!Q40))</f>
        <v/>
      </c>
      <c r="Q12" s="73" t="str">
        <f>IF(ISERROR(Asset!Q40-Asset!R40),"",IF(Asset!Q40-Asset!R40=0,"",Asset!Q40-Asset!R40))</f>
        <v/>
      </c>
      <c r="R12" s="73" t="str">
        <f>IF(ISERROR(Asset!R40-Asset!S40),"",IF(Asset!R40-Asset!S40=0,"",Asset!R40-Asset!S40))</f>
        <v/>
      </c>
      <c r="S12" s="73" t="str">
        <f>IF(ISERROR(Asset!S40-Asset!T40),"",IF(Asset!S40-Asset!T40=0,"",Asset!S40-Asset!T40))</f>
        <v/>
      </c>
      <c r="T12" s="73" t="str">
        <f>IF(ISERROR(Asset!T40-Asset!U40),"",IF(Asset!T40-Asset!U40=0,"",Asset!T40-Asset!U40))</f>
        <v/>
      </c>
      <c r="U12" s="73" t="str">
        <f>IF(ISERROR(Asset!U40-Asset!V40),"",IF(Asset!U40-Asset!V40=0,"",Asset!U40-Asset!V40))</f>
        <v/>
      </c>
      <c r="V12" s="625"/>
    </row>
    <row r="13" spans="1:22" x14ac:dyDescent="0.2">
      <c r="A13" s="331" t="s">
        <v>604</v>
      </c>
      <c r="B13" s="334">
        <v>0</v>
      </c>
      <c r="C13" s="327">
        <f>IF(ISERROR(Asset!C42+Asset!C45-Asset!D42-Asset!D45),"",IF(Asset!C42+Asset!C45-Asset!D42-Asset!D45=0,"",Asset!C42+Asset!C45-Asset!D42-Asset!D45))</f>
        <v>0.03</v>
      </c>
      <c r="D13" s="327">
        <f>IF(ISERROR(Asset!D42+Asset!D45-Asset!E42-Asset!E45),"",IF(Asset!D42+Asset!D45-Asset!E42-Asset!E45=0,"",Asset!D42+Asset!D45-Asset!E42-Asset!E45))</f>
        <v>-0.01</v>
      </c>
      <c r="E13" s="327">
        <f>IF(ISERROR(Asset!E42+Asset!E45-Asset!F42-Asset!F45),"",IF(Asset!E42+Asset!E45-Asset!F42-Asset!F45=0,"",Asset!E42+Asset!E45-Asset!F42-Asset!F45))</f>
        <v>-0.01</v>
      </c>
      <c r="F13" s="327">
        <f>IF(ISERROR(Asset!F42+Asset!F45-Asset!G42-Asset!G45),"",IF(Asset!F42+Asset!F45-Asset!G42-Asset!G45=0,"",Asset!F42+Asset!F45-Asset!G42-Asset!G45))</f>
        <v>-0.16000000000000009</v>
      </c>
      <c r="G13" s="327">
        <f>IF(ISERROR(Asset!G42+Asset!G45-Asset!H42-Asset!H45),"",IF(Asset!G42+Asset!G45-Asset!H42-Asset!H45=0,"",Asset!G42+Asset!G45-Asset!H42-Asset!H45))</f>
        <v>-0.20491312500000045</v>
      </c>
      <c r="H13" s="327">
        <f>IF(ISERROR(Asset!H42+Asset!H45-Asset!I42-Asset!I45),"",IF(Asset!H42+Asset!H45-Asset!I42-Asset!I45=0,"",Asset!H42+Asset!H45-Asset!I42-Asset!I45))</f>
        <v>-0.13818262499999978</v>
      </c>
      <c r="I13" s="327">
        <f>IF(ISERROR(Asset!I42+Asset!I45-Asset!J42-Asset!J45),"",IF(Asset!I42+Asset!I45-Asset!J42-Asset!J45=0,"",Asset!I42+Asset!I45-Asset!J42-Asset!J45))</f>
        <v>-6.2459437499999604E-2</v>
      </c>
      <c r="J13" s="327">
        <f>IF(ISERROR(Asset!J42+Asset!J45-Asset!K42-Asset!K45),"",IF(Asset!J42+Asset!J45-Asset!K42-Asset!K45=0,"",Asset!J42+Asset!J45-Asset!K42-Asset!K45))</f>
        <v>-5.7648937499998776E-2</v>
      </c>
      <c r="K13" s="327">
        <f>IF(ISERROR(Asset!K42+Asset!K45-Asset!L42-Asset!L45),"",IF(Asset!K42+Asset!K45-Asset!L42-Asset!L45=0,"",Asset!K42+Asset!K45-Asset!L42-Asset!L45))</f>
        <v>-6.9854625000001502E-2</v>
      </c>
      <c r="L13" s="327">
        <f>IF(ISERROR(Asset!L42+Asset!L45-Asset!M42-Asset!M45),"",IF(Asset!L42+Asset!L45-Asset!M42-Asset!M45=0,"",Asset!L42+Asset!L45-Asset!M42-Asset!M45))</f>
        <v>-0.10634906249999942</v>
      </c>
      <c r="M13" s="327">
        <f>IF(ISERROR(Asset!M42+Asset!M45-Asset!N42-Asset!N45),"",IF(Asset!M42+Asset!M45-Asset!N42-Asset!N45=0,"",Asset!M42+Asset!M45-Asset!N42-Asset!N45))</f>
        <v>0.81940781249999961</v>
      </c>
      <c r="N13" s="327" t="str">
        <f>IF(ISERROR(Asset!N42+Asset!N45-Asset!O42-Asset!O45),"",IF(Asset!N42+Asset!N45-Asset!O42-Asset!O45=0,"",Asset!N42+Asset!N45-Asset!O42-Asset!O45))</f>
        <v/>
      </c>
      <c r="O13" s="327" t="str">
        <f>IF(ISERROR(Asset!O42+Asset!O45-Asset!P42-Asset!P45),"",IF(Asset!O42+Asset!O45-Asset!P42-Asset!P45=0,"",Asset!O42+Asset!O45-Asset!P42-Asset!P45))</f>
        <v/>
      </c>
      <c r="P13" s="327" t="str">
        <f>IF(ISERROR(Asset!P42+Asset!P45-Asset!Q42-Asset!Q45),"",IF(Asset!P42+Asset!P45-Asset!Q42-Asset!Q45=0,"",Asset!P42+Asset!P45-Asset!Q42-Asset!Q45))</f>
        <v/>
      </c>
      <c r="Q13" s="327" t="str">
        <f>IF(ISERROR(Asset!Q42+Asset!Q45-Asset!R42-Asset!R45),"",IF(Asset!Q42+Asset!Q45-Asset!R42-Asset!R45=0,"",Asset!Q42+Asset!Q45-Asset!R42-Asset!R45))</f>
        <v/>
      </c>
      <c r="R13" s="327" t="str">
        <f>IF(ISERROR(Asset!R42+Asset!R45-Asset!S42-Asset!S45),"",IF(Asset!R42+Asset!R45-Asset!S42-Asset!S45=0,"",Asset!R42+Asset!R45-Asset!S42-Asset!S45))</f>
        <v/>
      </c>
      <c r="S13" s="327" t="str">
        <f>IF(ISERROR(Asset!S42+Asset!S45-Asset!T42-Asset!T45),"",IF(Asset!S42+Asset!S45-Asset!T42-Asset!T45=0,"",Asset!S42+Asset!S45-Asset!T42-Asset!T45))</f>
        <v/>
      </c>
      <c r="T13" s="327" t="str">
        <f>IF(ISERROR(Asset!T42+Asset!T45-Asset!U42-Asset!U45),"",IF(Asset!T42+Asset!T45-Asset!U42-Asset!U45=0,"",Asset!T42+Asset!T45-Asset!U42-Asset!U45))</f>
        <v/>
      </c>
      <c r="U13" s="327" t="str">
        <f>IF(ISERROR(Asset!U42+Asset!U45-Asset!V42-Asset!V45),"",IF(Asset!U42+Asset!U45-Asset!V42-Asset!V45=0,"",Asset!U42+Asset!U45-Asset!V42-Asset!V45))</f>
        <v/>
      </c>
      <c r="V13" s="665"/>
    </row>
    <row r="14" spans="1:22" x14ac:dyDescent="0.2">
      <c r="A14" s="331" t="s">
        <v>750</v>
      </c>
      <c r="B14" s="334">
        <v>0</v>
      </c>
      <c r="C14" s="327">
        <f>IF(ISERROR(SUM(Asset!C47:C49)-SUM(Asset!D47:D49)),"",IF(SUM(Asset!C47:C49)-SUM(Asset!D47:D49)=0,"",SUM(Asset!C47:C49)-SUM(Asset!D47:D49)))</f>
        <v>-0.03</v>
      </c>
      <c r="D14" s="327">
        <f>IF(ISERROR(SUM(Asset!D47:D49)-SUM(Asset!E47:E49)),"",IF(SUM(Asset!D47:D49)-SUM(Asset!E47:E49)=0,"",SUM(Asset!D47:D49)-SUM(Asset!E47:E49)))</f>
        <v>-9.999999999999995E-3</v>
      </c>
      <c r="E14" s="327">
        <f>IF(ISERROR(SUM(Asset!E47:E49)-SUM(Asset!F47:F49)),"",IF(SUM(Asset!E47:E49)-SUM(Asset!F47:F49)=0,"",SUM(Asset!E47:E49)-SUM(Asset!F47:F49)))</f>
        <v>-0.06</v>
      </c>
      <c r="F14" s="327">
        <f>IF(ISERROR(SUM(Asset!F47:F49)-SUM(Asset!G47:G49)),"",IF(SUM(Asset!F47:F49)-SUM(Asset!G47:G49)=0,"",SUM(Asset!F47:F49)-SUM(Asset!G47:G49)))</f>
        <v>-0.73</v>
      </c>
      <c r="G14" s="327">
        <f>IF(ISERROR(SUM(Asset!G47:G49)-SUM(Asset!H47:H49)),"",IF(SUM(Asset!G47:G49)-SUM(Asset!H47:H49)=0,"",SUM(Asset!G47:G49)-SUM(Asset!H47:H49)))</f>
        <v>-5.0000000000000044E-2</v>
      </c>
      <c r="H14" s="327">
        <f>IF(ISERROR(SUM(Asset!H47:H49)-SUM(Asset!I47:I49)),"",IF(SUM(Asset!H47:H49)-SUM(Asset!I47:I49)=0,"",SUM(Asset!H47:H49)-SUM(Asset!I47:I49)))</f>
        <v>-0.12</v>
      </c>
      <c r="I14" s="327">
        <f>IF(ISERROR(SUM(Asset!I47:I49)-SUM(Asset!J47:J49)),"",IF(SUM(Asset!I47:I49)-SUM(Asset!J47:J49)=0,"",SUM(Asset!I47:I49)-SUM(Asset!J47:J49)))</f>
        <v>-0.49</v>
      </c>
      <c r="J14" s="327">
        <f>IF(ISERROR(SUM(Asset!J47:J49)-SUM(Asset!K47:K49)),"",IF(SUM(Asset!J47:J49)-SUM(Asset!K47:K49)=0,"",SUM(Asset!J47:J49)-SUM(Asset!K47:K49)))</f>
        <v>-0.34999999999999987</v>
      </c>
      <c r="K14" s="327">
        <f>IF(ISERROR(SUM(Asset!K47:K49)-SUM(Asset!L47:L49)),"",IF(SUM(Asset!K47:K49)-SUM(Asset!L47:L49)=0,"",SUM(Asset!K47:K49)-SUM(Asset!L47:L49)))</f>
        <v>-0.29000000000000026</v>
      </c>
      <c r="L14" s="327">
        <f>IF(ISERROR(SUM(Asset!L47:L49)-SUM(Asset!M47:M49)),"",IF(SUM(Asset!L47:L49)-SUM(Asset!M47:M49)=0,"",SUM(Asset!L47:L49)-SUM(Asset!M47:M49)))</f>
        <v>-0.11999999999999966</v>
      </c>
      <c r="M14" s="327">
        <f>IF(ISERROR(SUM(Asset!M47:M49)-SUM(Asset!N47:N49)),"",IF(SUM(Asset!M47:M49)-SUM(Asset!N47:N49)=0,"",SUM(Asset!M47:M49)-SUM(Asset!N47:N49)))</f>
        <v>2.2999999999999998</v>
      </c>
      <c r="N14" s="327" t="str">
        <f>IF(ISERROR(SUM(Asset!N47:N49)-SUM(Asset!O47:O49)),"",IF(SUM(Asset!N47:N49)-SUM(Asset!O47:O49)=0,"",SUM(Asset!N47:N49)-SUM(Asset!O47:O49)))</f>
        <v/>
      </c>
      <c r="O14" s="327" t="str">
        <f>IF(ISERROR(SUM(Asset!O47:O49)-SUM(Asset!P47:P49)),"",IF(SUM(Asset!O47:O49)-SUM(Asset!P47:P49)=0,"",SUM(Asset!O47:O49)-SUM(Asset!P47:P49)))</f>
        <v/>
      </c>
      <c r="P14" s="327" t="str">
        <f>IF(ISERROR(SUM(Asset!P47:P49)-SUM(Asset!Q47:Q49)),"",IF(SUM(Asset!P47:P49)-SUM(Asset!Q47:Q49)=0,"",SUM(Asset!P47:P49)-SUM(Asset!Q47:Q49)))</f>
        <v/>
      </c>
      <c r="Q14" s="327" t="str">
        <f>IF(ISERROR(SUM(Asset!Q47:Q49)-SUM(Asset!R47:R49)),"",IF(SUM(Asset!Q47:Q49)-SUM(Asset!R47:R49)=0,"",SUM(Asset!Q47:Q49)-SUM(Asset!R47:R49)))</f>
        <v/>
      </c>
      <c r="R14" s="327" t="str">
        <f>IF(ISERROR(SUM(Asset!R47:R49)-SUM(Asset!S47:S49)),"",IF(SUM(Asset!R47:R49)-SUM(Asset!S47:S49)=0,"",SUM(Asset!R47:R49)-SUM(Asset!S47:S49)))</f>
        <v/>
      </c>
      <c r="S14" s="327" t="str">
        <f>IF(ISERROR(SUM(Asset!S47:S49)-SUM(Asset!T47:T49)),"",IF(SUM(Asset!S47:S49)-SUM(Asset!T47:T49)=0,"",SUM(Asset!S47:S49)-SUM(Asset!T47:T49)))</f>
        <v/>
      </c>
      <c r="T14" s="327" t="str">
        <f>IF(ISERROR(SUM(Asset!T47:T49)-SUM(Asset!U47:U49)),"",IF(SUM(Asset!T47:T49)-SUM(Asset!U47:U49)=0,"",SUM(Asset!T47:T49)-SUM(Asset!U47:U49)))</f>
        <v/>
      </c>
      <c r="U14" s="327" t="str">
        <f>IF(ISERROR(SUM(Asset!U47:U49)-SUM(Asset!V47:V49)),"",IF(SUM(Asset!U47:U49)-SUM(Asset!V47:V49)=0,"",SUM(Asset!U47:U49)-SUM(Asset!V47:V49)))</f>
        <v/>
      </c>
      <c r="V14" s="665"/>
    </row>
    <row r="15" spans="1:22" x14ac:dyDescent="0.2">
      <c r="A15" s="331" t="s">
        <v>751</v>
      </c>
      <c r="B15" s="334">
        <v>0</v>
      </c>
      <c r="C15" s="327">
        <f>IF(ISERROR(Liab!D22+Liab!D24-Liab!C22-Liab!C24),"",IF(Liab!D22+Liab!D24-Liab!C22-Liab!C24=0,"",Liab!D22+Liab!D24-Liab!C22-Liab!C24))</f>
        <v>0.02</v>
      </c>
      <c r="D15" s="327">
        <f>IF(ISERROR(Liab!E22+Liab!E24-Liab!D22-Liab!D24),"",IF(Liab!E22+Liab!E24-Liab!D22-Liab!D24=0,"",Liab!E22+Liab!E24-Liab!D22-Liab!D24))</f>
        <v>0.24000000000000002</v>
      </c>
      <c r="E15" s="327">
        <f>IF(ISERROR(Liab!F22+Liab!F24-Liab!E22-Liab!E24),"",IF(Liab!F22+Liab!F24-Liab!E22-Liab!E24=0,"",Liab!F22+Liab!F24-Liab!E22-Liab!E24))</f>
        <v>3.999999999999998E-2</v>
      </c>
      <c r="F15" s="327">
        <f>IF(ISERROR(Liab!G22+Liab!G24-Liab!F22-Liab!F24),"",IF(Liab!G22+Liab!G24-Liab!F22-Liab!F24=0,"",Liab!G22+Liab!G24-Liab!F22-Liab!F24))</f>
        <v>-9.9999999999999978E-2</v>
      </c>
      <c r="G15" s="327">
        <f>IF(ISERROR(Liab!H22+Liab!H24-Liab!G22-Liab!G24),"",IF(Liab!H22+Liab!H24-Liab!G22-Liab!G24=0,"",Liab!H22+Liab!H24-Liab!G22-Liab!G24))</f>
        <v>1.3</v>
      </c>
      <c r="H15" s="327" t="str">
        <f>IF(ISERROR(Liab!I22+Liab!I24-Liab!H22-Liab!H24),"",IF(Liab!I22+Liab!I24-Liab!H22-Liab!H24=0,"",Liab!I22+Liab!I24-Liab!H22-Liab!H24))</f>
        <v/>
      </c>
      <c r="I15" s="327">
        <f>IF(ISERROR(Liab!J22+Liab!J24-Liab!I22-Liab!I24),"",IF(Liab!J22+Liab!J24-Liab!I22-Liab!I24=0,"",Liab!J22+Liab!J24-Liab!I22-Liab!I24))</f>
        <v>-0.5</v>
      </c>
      <c r="J15" s="327">
        <f>IF(ISERROR(Liab!K22+Liab!K24-Liab!J22-Liab!J24),"",IF(Liab!K22+Liab!K24-Liab!J22-Liab!J24=0,"",Liab!K22+Liab!K24-Liab!J22-Liab!J24))</f>
        <v>-0.25</v>
      </c>
      <c r="K15" s="327">
        <f>IF(ISERROR(Liab!L22+Liab!L24-Liab!K22-Liab!K24),"",IF(Liab!L22+Liab!L24-Liab!K22-Liab!K24=0,"",Liab!L22+Liab!L24-Liab!K22-Liab!K24))</f>
        <v>-0.25</v>
      </c>
      <c r="L15" s="327">
        <f>IF(ISERROR(Liab!M22+Liab!M24-Liab!L22-Liab!L24),"",IF(Liab!M22+Liab!M24-Liab!L22-Liab!L24=0,"",Liab!M22+Liab!M24-Liab!L22-Liab!L24))</f>
        <v>-0.25</v>
      </c>
      <c r="M15" s="327">
        <f>IF(ISERROR(Liab!N22+Liab!N24-Liab!M22-Liab!M24),"",IF(Liab!N22+Liab!N24-Liab!M22-Liab!M24=0,"",Liab!N22+Liab!N24-Liab!M22-Liab!M24))</f>
        <v>-0.25</v>
      </c>
      <c r="N15" s="327" t="str">
        <f>IF(ISERROR(Liab!O22+Liab!O24-Liab!N22-Liab!N24),"",IF(Liab!O22+Liab!O24-Liab!N22-Liab!N24=0,"",Liab!O22+Liab!O24-Liab!N22-Liab!N24))</f>
        <v/>
      </c>
      <c r="O15" s="327" t="str">
        <f>IF(ISERROR(Liab!P22+Liab!P24-Liab!O22-Liab!O24),"",IF(Liab!P22+Liab!P24-Liab!O22-Liab!O24=0,"",Liab!P22+Liab!P24-Liab!O22-Liab!O24))</f>
        <v/>
      </c>
      <c r="P15" s="327" t="str">
        <f>IF(ISERROR(Liab!Q22+Liab!Q24-Liab!P22-Liab!P24),"",IF(Liab!Q22+Liab!Q24-Liab!P22-Liab!P24=0,"",Liab!Q22+Liab!Q24-Liab!P22-Liab!P24))</f>
        <v/>
      </c>
      <c r="Q15" s="327" t="str">
        <f>IF(ISERROR(Liab!R22+Liab!R24-Liab!Q22-Liab!Q24),"",IF(Liab!R22+Liab!R24-Liab!Q22-Liab!Q24=0,"",Liab!R22+Liab!R24-Liab!Q22-Liab!Q24))</f>
        <v/>
      </c>
      <c r="R15" s="327" t="str">
        <f>IF(ISERROR(Liab!S22+Liab!S24-Liab!R22-Liab!R24),"",IF(Liab!S22+Liab!S24-Liab!R22-Liab!R24=0,"",Liab!S22+Liab!S24-Liab!R22-Liab!R24))</f>
        <v/>
      </c>
      <c r="S15" s="327" t="str">
        <f>IF(ISERROR(Liab!T22+Liab!T24-Liab!S22-Liab!S24),"",IF(Liab!T22+Liab!T24-Liab!S22-Liab!S24=0,"",Liab!T22+Liab!T24-Liab!S22-Liab!S24))</f>
        <v/>
      </c>
      <c r="T15" s="327" t="str">
        <f>IF(ISERROR(Liab!U22+Liab!U24-Liab!T22-Liab!T24),"",IF(Liab!U22+Liab!U24-Liab!T22-Liab!T24=0,"",Liab!U22+Liab!U24-Liab!T22-Liab!T24))</f>
        <v/>
      </c>
      <c r="U15" s="327" t="str">
        <f>IF(ISERROR(Liab!V22+Liab!V24-Liab!U22-Liab!U24),"",IF(Liab!V22+Liab!V24-Liab!U22-Liab!U24=0,"",Liab!V22+Liab!V24-Liab!U22-Liab!U24))</f>
        <v/>
      </c>
      <c r="V15" s="665"/>
    </row>
    <row r="16" spans="1:22" x14ac:dyDescent="0.2">
      <c r="A16" s="331" t="s">
        <v>752</v>
      </c>
      <c r="B16" s="334">
        <v>0</v>
      </c>
      <c r="C16" s="327" t="str">
        <f>IF(ISERROR(Liab!D26+Liab!D28+Liab!D30+Liab!D32-Liab!C26-Liab!C28-Liab!C30-Liab!C32),"",IF(Liab!D26+Liab!D28+Liab!D30+Liab!D32-Liab!C26-Liab!C28-Liab!C30-Liab!C32=0,"",Liab!D26+Liab!D28+Liab!D30+Liab!D32-Liab!C26-Liab!C28-Liab!C30-Liab!C32))</f>
        <v/>
      </c>
      <c r="D16" s="327" t="str">
        <f>IF(ISERROR(Liab!E26+Liab!E28+Liab!E30+Liab!E32-Liab!D26-Liab!D28-Liab!D30-Liab!D32),"",IF(Liab!E26+Liab!E28+Liab!E30+Liab!E32-Liab!D26-Liab!D28-Liab!D30-Liab!D32=0,"",Liab!E26+Liab!E28+Liab!E30+Liab!E32-Liab!D26-Liab!D28-Liab!D30-Liab!D32))</f>
        <v/>
      </c>
      <c r="E16" s="327">
        <f>IF(ISERROR(Liab!F26+Liab!F28+Liab!F30+Liab!F32-Liab!E26-Liab!E28-Liab!E30-Liab!E32),"",IF(Liab!F26+Liab!F28+Liab!F30+Liab!F32-Liab!E26-Liab!E28-Liab!E30-Liab!E32=0,"",Liab!F26+Liab!F28+Liab!F30+Liab!F32-Liab!E26-Liab!E28-Liab!E30-Liab!E32))</f>
        <v>9.2999999999999944E-2</v>
      </c>
      <c r="F16" s="327">
        <f>IF(ISERROR(Liab!G26+Liab!G28+Liab!G30+Liab!G32-Liab!F26-Liab!F28-Liab!F30-Liab!F32),"",IF(Liab!G26+Liab!G28+Liab!G30+Liab!G32-Liab!F26-Liab!F28-Liab!F30-Liab!F32=0,"",Liab!G26+Liab!G28+Liab!G30+Liab!G32-Liab!F26-Liab!F28-Liab!F30-Liab!F32))</f>
        <v>0.14700000000000016</v>
      </c>
      <c r="G16" s="327">
        <f>IF(ISERROR(Liab!H26+Liab!H28+Liab!H30+Liab!H32-Liab!G26-Liab!G28-Liab!G30-Liab!G32),"",IF(Liab!H26+Liab!H28+Liab!H30+Liab!H32-Liab!G26-Liab!G28-Liab!G30-Liab!G32=0,"",Liab!H26+Liab!H28+Liab!H30+Liab!H32-Liab!G26-Liab!G28-Liab!G30-Liab!G32))</f>
        <v>0.27321750000000056</v>
      </c>
      <c r="H16" s="327">
        <f>IF(ISERROR(Liab!I26+Liab!I28+Liab!I30+Liab!I32-Liab!H26-Liab!H28-Liab!H30-Liab!H32),"",IF(Liab!I26+Liab!I28+Liab!I30+Liab!I32-Liab!H26-Liab!H28-Liab!H30-Liab!H32=0,"",Liab!I26+Liab!I28+Liab!I30+Liab!I32-Liab!H26-Liab!H28-Liab!H30-Liab!H32))</f>
        <v>0.18424349999999978</v>
      </c>
      <c r="I16" s="327">
        <f>IF(ISERROR(Liab!J26+Liab!J28+Liab!J30+Liab!J32-Liab!I26-Liab!I28-Liab!I30-Liab!I32),"",IF(Liab!J26+Liab!J28+Liab!J30+Liab!J32-Liab!I26-Liab!I28-Liab!I30-Liab!I32=0,"",Liab!J26+Liab!J28+Liab!J30+Liab!J32-Liab!I26-Liab!I28-Liab!I30-Liab!I32))</f>
        <v>8.3279249999999472E-2</v>
      </c>
      <c r="J16" s="327">
        <f>IF(ISERROR(Liab!K26+Liab!K28+Liab!K30+Liab!K32-Liab!J26-Liab!J28-Liab!J30-Liab!J32),"",IF(Liab!K26+Liab!K28+Liab!K30+Liab!K32-Liab!J26-Liab!J28-Liab!J30-Liab!J32=0,"",Liab!K26+Liab!K28+Liab!K30+Liab!K32-Liab!J26-Liab!J28-Liab!J30-Liab!J32))</f>
        <v>7.6865249999998331E-2</v>
      </c>
      <c r="K16" s="327">
        <f>IF(ISERROR(Liab!L26+Liab!L28+Liab!L30+Liab!L32-Liab!K26-Liab!K28-Liab!K30-Liab!K32),"",IF(Liab!L26+Liab!L28+Liab!L30+Liab!L32-Liab!K26-Liab!K28-Liab!K30-Liab!K32=0,"",Liab!L26+Liab!L28+Liab!L30+Liab!L32-Liab!K26-Liab!K28-Liab!K30-Liab!K32))</f>
        <v>9.313950000000204E-2</v>
      </c>
      <c r="L16" s="327">
        <f>IF(ISERROR(Liab!M26+Liab!M28+Liab!M30+Liab!M32-Liab!L26-Liab!L28-Liab!L30-Liab!L32),"",IF(Liab!M26+Liab!M28+Liab!M30+Liab!M32-Liab!L26-Liab!L28-Liab!L30-Liab!L32=0,"",Liab!M26+Liab!M28+Liab!M30+Liab!M32-Liab!L26-Liab!L28-Liab!L30-Liab!L32))</f>
        <v>0.1417987499999992</v>
      </c>
      <c r="M16" s="327">
        <f>IF(ISERROR(Liab!N26+Liab!N28+Liab!N30+Liab!N32-Liab!M26-Liab!M28-Liab!M30-Liab!M32),"",IF(Liab!N26+Liab!N28+Liab!N30+Liab!N32-Liab!M26-Liab!M28-Liab!M30-Liab!M32=0,"",Liab!N26+Liab!N28+Liab!N30+Liab!N32-Liab!M26-Liab!M28-Liab!M30-Liab!M32))</f>
        <v>-1.0925437499999995</v>
      </c>
      <c r="N16" s="327" t="str">
        <f>IF(ISERROR(Liab!O26+Liab!O28+Liab!O30+Liab!O32-Liab!N26-Liab!N28-Liab!N30-Liab!N32),"",IF(Liab!O26+Liab!O28+Liab!O30+Liab!O32-Liab!N26-Liab!N28-Liab!N30-Liab!N32=0,"",Liab!O26+Liab!O28+Liab!O30+Liab!O32-Liab!N26-Liab!N28-Liab!N30-Liab!N32))</f>
        <v/>
      </c>
      <c r="O16" s="327" t="str">
        <f>IF(ISERROR(Liab!P26+Liab!P28+Liab!P30+Liab!P32-Liab!O26-Liab!O28-Liab!O30-Liab!O32),"",IF(Liab!P26+Liab!P28+Liab!P30+Liab!P32-Liab!O26-Liab!O28-Liab!O30-Liab!O32=0,"",Liab!P26+Liab!P28+Liab!P30+Liab!P32-Liab!O26-Liab!O28-Liab!O30-Liab!O32))</f>
        <v/>
      </c>
      <c r="P16" s="327" t="str">
        <f>IF(ISERROR(Liab!Q26+Liab!Q28+Liab!Q30+Liab!Q32-Liab!P26-Liab!P28-Liab!P30-Liab!P32),"",IF(Liab!Q26+Liab!Q28+Liab!Q30+Liab!Q32-Liab!P26-Liab!P28-Liab!P30-Liab!P32=0,"",Liab!Q26+Liab!Q28+Liab!Q30+Liab!Q32-Liab!P26-Liab!P28-Liab!P30-Liab!P32))</f>
        <v/>
      </c>
      <c r="Q16" s="327" t="str">
        <f>IF(ISERROR(Liab!R26+Liab!R28+Liab!R30+Liab!R32-Liab!Q26-Liab!Q28-Liab!Q30-Liab!Q32),"",IF(Liab!R26+Liab!R28+Liab!R30+Liab!R32-Liab!Q26-Liab!Q28-Liab!Q30-Liab!Q32=0,"",Liab!R26+Liab!R28+Liab!R30+Liab!R32-Liab!Q26-Liab!Q28-Liab!Q30-Liab!Q32))</f>
        <v/>
      </c>
      <c r="R16" s="327" t="str">
        <f>IF(ISERROR(Liab!S26+Liab!S28+Liab!S30+Liab!S32-Liab!R26-Liab!R28-Liab!R30-Liab!R32),"",IF(Liab!S26+Liab!S28+Liab!S30+Liab!S32-Liab!R26-Liab!R28-Liab!R30-Liab!R32=0,"",Liab!S26+Liab!S28+Liab!S30+Liab!S32-Liab!R26-Liab!R28-Liab!R30-Liab!R32))</f>
        <v/>
      </c>
      <c r="S16" s="327" t="str">
        <f>IF(ISERROR(Liab!T26+Liab!T28+Liab!T30+Liab!T32-Liab!S26-Liab!S28-Liab!S30-Liab!S32),"",IF(Liab!T26+Liab!T28+Liab!T30+Liab!T32-Liab!S26-Liab!S28-Liab!S30-Liab!S32=0,"",Liab!T26+Liab!T28+Liab!T30+Liab!T32-Liab!S26-Liab!S28-Liab!S30-Liab!S32))</f>
        <v/>
      </c>
      <c r="T16" s="327" t="str">
        <f>IF(ISERROR(Liab!U26+Liab!U28+Liab!U30+Liab!U32-Liab!T26-Liab!T28-Liab!T30-Liab!T32),"",IF(Liab!U26+Liab!U28+Liab!U30+Liab!U32-Liab!T26-Liab!T28-Liab!T30-Liab!T32=0,"",Liab!U26+Liab!U28+Liab!U30+Liab!U32-Liab!T26-Liab!T28-Liab!T30-Liab!T32))</f>
        <v/>
      </c>
      <c r="U16" s="327" t="str">
        <f>IF(ISERROR(Liab!V26+Liab!V28+Liab!V30+Liab!V32-Liab!U26-Liab!U28-Liab!U30-Liab!U32),"",IF(Liab!V26+Liab!V28+Liab!V30+Liab!V32-Liab!U26-Liab!U28-Liab!U30-Liab!U32=0,"",Liab!V26+Liab!V28+Liab!V30+Liab!V32-Liab!U26-Liab!U28-Liab!U30-Liab!U32))</f>
        <v/>
      </c>
      <c r="V16" s="665"/>
    </row>
    <row r="17" spans="1:22" x14ac:dyDescent="0.2">
      <c r="A17" s="331" t="s">
        <v>753</v>
      </c>
      <c r="B17" s="334">
        <v>0</v>
      </c>
      <c r="C17" s="327">
        <f>IF(ISERROR(SUM(Liab!D36:D43)-SUM(Liab!C36:C43)),"",IF(SUM(Liab!D36:D43)-SUM(Liab!C36:C43)=0,"",SUM(Liab!D36:D43)-SUM(Liab!C36:C43)))</f>
        <v>-0.03</v>
      </c>
      <c r="D17" s="327">
        <f>IF(ISERROR(SUM(Liab!E36:E43)-SUM(Liab!D36:D43)),"",IF(SUM(Liab!E36:E43)-SUM(Liab!D36:D43)=0,"",SUM(Liab!E36:E43)-SUM(Liab!D36:D43)))</f>
        <v>-2.0000000000000004E-2</v>
      </c>
      <c r="E17" s="327">
        <f>IF(ISERROR(SUM(Liab!F36:F43)-SUM(Liab!E36:E43)),"",IF(SUM(Liab!F36:F43)-SUM(Liab!E36:E43)=0,"",SUM(Liab!F36:F43)-SUM(Liab!E36:E43)))</f>
        <v>9.999999999999995E-3</v>
      </c>
      <c r="F17" s="327" t="str">
        <f>IF(ISERROR(SUM(Liab!G36:G43)-SUM(Liab!F36:F43)),"",IF(SUM(Liab!G36:G43)-SUM(Liab!F36:F43)=0,"",SUM(Liab!G36:G43)-SUM(Liab!F36:F43)))</f>
        <v/>
      </c>
      <c r="G17" s="327" t="str">
        <f>IF(ISERROR(SUM(Liab!H36:H43)-SUM(Liab!G36:G43)),"",IF(SUM(Liab!H36:H43)-SUM(Liab!G36:G43)=0,"",SUM(Liab!H36:H43)-SUM(Liab!G36:G43)))</f>
        <v/>
      </c>
      <c r="H17" s="327">
        <f>IF(ISERROR(SUM(Liab!I36:I43)-SUM(Liab!H36:H43)),"",IF(SUM(Liab!I36:I43)-SUM(Liab!H36:H43)=0,"",SUM(Liab!I36:I43)-SUM(Liab!H36:H43)))</f>
        <v>1.0000000000000009E-2</v>
      </c>
      <c r="I17" s="327" t="str">
        <f>IF(ISERROR(SUM(Liab!J36:J43)-SUM(Liab!I36:I43)),"",IF(SUM(Liab!J36:J43)-SUM(Liab!I36:I43)=0,"",SUM(Liab!J36:J43)-SUM(Liab!I36:I43)))</f>
        <v/>
      </c>
      <c r="J17" s="327">
        <f>IF(ISERROR(SUM(Liab!K36:K43)-SUM(Liab!J36:J43)),"",IF(SUM(Liab!K36:K43)-SUM(Liab!J36:J43)=0,"",SUM(Liab!K36:K43)-SUM(Liab!J36:J43)))</f>
        <v>1.0000000000000009E-2</v>
      </c>
      <c r="K17" s="327" t="str">
        <f>IF(ISERROR(SUM(Liab!L36:L43)-SUM(Liab!K36:K43)),"",IF(SUM(Liab!L36:L43)-SUM(Liab!K36:K43)=0,"",SUM(Liab!L36:L43)-SUM(Liab!K36:K43)))</f>
        <v/>
      </c>
      <c r="L17" s="327">
        <f>IF(ISERROR(SUM(Liab!M36:M43)-SUM(Liab!L36:L43)),"",IF(SUM(Liab!M36:M43)-SUM(Liab!L36:L43)=0,"",SUM(Liab!M36:M43)-SUM(Liab!L36:L43)))</f>
        <v>9.9999999999999811E-3</v>
      </c>
      <c r="M17" s="327">
        <f>IF(ISERROR(SUM(Liab!N36:N43)-SUM(Liab!M36:M43)),"",IF(SUM(Liab!N36:N43)-SUM(Liab!M36:M43)=0,"",SUM(Liab!N36:N43)-SUM(Liab!M36:M43)))</f>
        <v>-0.15</v>
      </c>
      <c r="N17" s="327" t="str">
        <f>IF(ISERROR(SUM(Liab!O36:O43)-SUM(Liab!N36:N43)),"",IF(SUM(Liab!O36:O43)-SUM(Liab!N36:N43)=0,"",SUM(Liab!O36:O43)-SUM(Liab!N36:N43)))</f>
        <v/>
      </c>
      <c r="O17" s="327" t="str">
        <f>IF(ISERROR(SUM(Liab!P36:P43)-SUM(Liab!O36:O43)),"",IF(SUM(Liab!P36:P43)-SUM(Liab!O36:O43)=0,"",SUM(Liab!P36:P43)-SUM(Liab!O36:O43)))</f>
        <v/>
      </c>
      <c r="P17" s="327" t="str">
        <f>IF(ISERROR(SUM(Liab!Q36:Q43)-SUM(Liab!P36:P43)),"",IF(SUM(Liab!Q36:Q43)-SUM(Liab!P36:P43)=0,"",SUM(Liab!Q36:Q43)-SUM(Liab!P36:P43)))</f>
        <v/>
      </c>
      <c r="Q17" s="327" t="str">
        <f>IF(ISERROR(SUM(Liab!R36:R43)-SUM(Liab!Q36:Q43)),"",IF(SUM(Liab!R36:R43)-SUM(Liab!Q36:Q43)=0,"",SUM(Liab!R36:R43)-SUM(Liab!Q36:Q43)))</f>
        <v/>
      </c>
      <c r="R17" s="327" t="str">
        <f>IF(ISERROR(SUM(Liab!S36:S43)-SUM(Liab!R36:R43)),"",IF(SUM(Liab!S36:S43)-SUM(Liab!R36:R43)=0,"",SUM(Liab!S36:S43)-SUM(Liab!R36:R43)))</f>
        <v/>
      </c>
      <c r="S17" s="327" t="str">
        <f>IF(ISERROR(SUM(Liab!T36:T43)-SUM(Liab!S36:S43)),"",IF(SUM(Liab!T36:T43)-SUM(Liab!S36:S43)=0,"",SUM(Liab!T36:T43)-SUM(Liab!S36:S43)))</f>
        <v/>
      </c>
      <c r="T17" s="327" t="str">
        <f>IF(ISERROR(SUM(Liab!U36:U43)-SUM(Liab!T36:T43)),"",IF(SUM(Liab!U36:U43)-SUM(Liab!T36:T43)=0,"",SUM(Liab!U36:U43)-SUM(Liab!T36:T43)))</f>
        <v/>
      </c>
      <c r="U17" s="327" t="str">
        <f>IF(ISERROR(SUM(Liab!V36:V43)-SUM(Liab!U36:U43)),"",IF(SUM(Liab!V36:V43)-SUM(Liab!U36:U43)=0,"",SUM(Liab!V36:V43)-SUM(Liab!U36:U43)))</f>
        <v/>
      </c>
      <c r="V17" s="665"/>
    </row>
    <row r="18" spans="1:22" x14ac:dyDescent="0.2">
      <c r="A18" s="329" t="s">
        <v>445</v>
      </c>
      <c r="B18" s="327"/>
      <c r="C18" s="327"/>
      <c r="D18" s="327"/>
      <c r="E18" s="327"/>
      <c r="F18" s="327"/>
      <c r="G18" s="327"/>
      <c r="H18" s="327"/>
      <c r="I18" s="327"/>
      <c r="J18" s="327"/>
      <c r="K18" s="327"/>
      <c r="L18" s="327"/>
      <c r="M18" s="327"/>
      <c r="N18" s="327"/>
      <c r="O18" s="327"/>
      <c r="P18" s="327"/>
      <c r="Q18" s="327"/>
      <c r="R18" s="327"/>
      <c r="S18" s="327"/>
      <c r="T18" s="327"/>
      <c r="U18" s="327"/>
      <c r="V18" s="665"/>
    </row>
    <row r="19" spans="1:22" x14ac:dyDescent="0.2">
      <c r="A19" s="331" t="s">
        <v>602</v>
      </c>
      <c r="B19" s="327">
        <f>'Oper.St.'!C82</f>
        <v>0</v>
      </c>
      <c r="C19" s="327">
        <f>'Oper.St.'!D82</f>
        <v>0</v>
      </c>
      <c r="D19" s="327">
        <f>'Oper.St.'!E82</f>
        <v>0</v>
      </c>
      <c r="E19" s="327">
        <f>'Oper.St.'!F82</f>
        <v>0</v>
      </c>
      <c r="F19" s="327">
        <f>'Oper.St.'!G82</f>
        <v>0</v>
      </c>
      <c r="G19" s="327">
        <f>'Oper.St.'!H82</f>
        <v>0</v>
      </c>
      <c r="H19" s="327">
        <f>'Oper.St.'!I82</f>
        <v>0</v>
      </c>
      <c r="I19" s="327">
        <f>'Oper.St.'!J82</f>
        <v>0</v>
      </c>
      <c r="J19" s="327">
        <f>'Oper.St.'!K82</f>
        <v>0</v>
      </c>
      <c r="K19" s="327">
        <f>'Oper.St.'!L82</f>
        <v>0</v>
      </c>
      <c r="L19" s="327">
        <f>'Oper.St.'!M82</f>
        <v>0</v>
      </c>
      <c r="M19" s="327">
        <f>'Oper.St.'!N82</f>
        <v>0</v>
      </c>
      <c r="N19" s="327">
        <f>'Oper.St.'!O82</f>
        <v>0</v>
      </c>
      <c r="O19" s="327">
        <f>'Oper.St.'!P82</f>
        <v>0</v>
      </c>
      <c r="P19" s="327">
        <f>'Oper.St.'!Q82</f>
        <v>0</v>
      </c>
      <c r="Q19" s="327">
        <f>'Oper.St.'!R82</f>
        <v>0</v>
      </c>
      <c r="R19" s="327">
        <f>'Oper.St.'!S82</f>
        <v>0</v>
      </c>
      <c r="S19" s="327">
        <f>'Oper.St.'!T82</f>
        <v>0</v>
      </c>
      <c r="T19" s="327">
        <f>'Oper.St.'!U82</f>
        <v>0</v>
      </c>
      <c r="U19" s="327">
        <f>'Oper.St.'!V82</f>
        <v>0</v>
      </c>
      <c r="V19" s="665"/>
    </row>
    <row r="20" spans="1:22" x14ac:dyDescent="0.2">
      <c r="A20" s="330" t="s">
        <v>451</v>
      </c>
      <c r="B20" s="327">
        <f>'Oper.St.'!C93</f>
        <v>0.03</v>
      </c>
      <c r="C20" s="327">
        <f>'Oper.St.'!D93</f>
        <v>0.04</v>
      </c>
      <c r="D20" s="327">
        <f>'Oper.St.'!E93</f>
        <v>0.11</v>
      </c>
      <c r="E20" s="327">
        <f>'Oper.St.'!F93</f>
        <v>9.2999999999999944E-2</v>
      </c>
      <c r="F20" s="327">
        <f>'Oper.St.'!G93</f>
        <v>0.2400000000000001</v>
      </c>
      <c r="G20" s="327">
        <f>'Oper.St.'!H93</f>
        <v>0.51321750000000066</v>
      </c>
      <c r="H20" s="327">
        <f>'Oper.St.'!I93</f>
        <v>0.69746100000000044</v>
      </c>
      <c r="I20" s="327">
        <f>'Oper.St.'!J93</f>
        <v>0.78074024999999991</v>
      </c>
      <c r="J20" s="327">
        <f>'Oper.St.'!K93</f>
        <v>0.85760549999999824</v>
      </c>
      <c r="K20" s="327">
        <f>'Oper.St.'!L93</f>
        <v>0.95074500000000028</v>
      </c>
      <c r="L20" s="327">
        <f>'Oper.St.'!M93</f>
        <v>1.0925437499999995</v>
      </c>
      <c r="M20" s="327">
        <f>'Oper.St.'!N93</f>
        <v>0</v>
      </c>
      <c r="N20" s="327">
        <f>'Oper.St.'!O93</f>
        <v>0</v>
      </c>
      <c r="O20" s="327">
        <f>'Oper.St.'!P93</f>
        <v>0</v>
      </c>
      <c r="P20" s="327">
        <f>'Oper.St.'!Q93</f>
        <v>0</v>
      </c>
      <c r="Q20" s="327">
        <f>'Oper.St.'!R93</f>
        <v>0</v>
      </c>
      <c r="R20" s="327">
        <f>'Oper.St.'!S93</f>
        <v>0</v>
      </c>
      <c r="S20" s="327">
        <f>'Oper.St.'!T93</f>
        <v>0</v>
      </c>
      <c r="T20" s="327">
        <f>'Oper.St.'!U93</f>
        <v>0</v>
      </c>
      <c r="U20" s="327">
        <f>'Oper.St.'!V93</f>
        <v>0</v>
      </c>
      <c r="V20" s="665"/>
    </row>
    <row r="21" spans="1:22" s="333" customFormat="1" x14ac:dyDescent="0.2">
      <c r="A21" s="329" t="s">
        <v>453</v>
      </c>
      <c r="B21" s="332">
        <f>B9+SUM(B11:B17)-B19-B20</f>
        <v>9.9999999999999978E-2</v>
      </c>
      <c r="C21" s="332">
        <f>C9+SUM(C11:C17)-C19-C20</f>
        <v>9.9999999999999881E-3</v>
      </c>
      <c r="D21" s="332">
        <f t="shared" ref="D21:U21" si="1">D9+SUM(D11:D17)-D19-D20</f>
        <v>0.35000000000000026</v>
      </c>
      <c r="E21" s="332">
        <f t="shared" si="1"/>
        <v>0.46999999999999975</v>
      </c>
      <c r="F21" s="332">
        <f t="shared" si="1"/>
        <v>-1.6829999999999985</v>
      </c>
      <c r="G21" s="332">
        <f t="shared" si="1"/>
        <v>3.3550868750000018</v>
      </c>
      <c r="H21" s="332">
        <f t="shared" si="1"/>
        <v>2.4485998750000011</v>
      </c>
      <c r="I21" s="332">
        <f t="shared" si="1"/>
        <v>2.6600795625</v>
      </c>
      <c r="J21" s="332">
        <f t="shared" si="1"/>
        <v>2.8416108124999964</v>
      </c>
      <c r="K21" s="332">
        <f t="shared" si="1"/>
        <v>2.9525398750000007</v>
      </c>
      <c r="L21" s="332">
        <f t="shared" si="1"/>
        <v>3.2829059375000011</v>
      </c>
      <c r="M21" s="332">
        <f t="shared" si="1"/>
        <v>14.206864062499999</v>
      </c>
      <c r="N21" s="332">
        <f t="shared" si="1"/>
        <v>0</v>
      </c>
      <c r="O21" s="332">
        <f t="shared" si="1"/>
        <v>0</v>
      </c>
      <c r="P21" s="332">
        <f t="shared" si="1"/>
        <v>0</v>
      </c>
      <c r="Q21" s="332">
        <f t="shared" si="1"/>
        <v>0</v>
      </c>
      <c r="R21" s="332">
        <f t="shared" si="1"/>
        <v>0</v>
      </c>
      <c r="S21" s="332">
        <f t="shared" si="1"/>
        <v>0</v>
      </c>
      <c r="T21" s="332">
        <f t="shared" si="1"/>
        <v>0</v>
      </c>
      <c r="U21" s="332">
        <f t="shared" si="1"/>
        <v>0</v>
      </c>
      <c r="V21" s="668"/>
    </row>
    <row r="22" spans="1:22" x14ac:dyDescent="0.2">
      <c r="A22" s="663"/>
      <c r="B22" s="664"/>
      <c r="C22" s="664"/>
      <c r="D22" s="664"/>
      <c r="E22" s="664"/>
      <c r="F22" s="664"/>
      <c r="G22" s="664"/>
      <c r="H22" s="664"/>
      <c r="I22" s="664"/>
      <c r="J22" s="664"/>
      <c r="K22" s="664"/>
      <c r="L22" s="664"/>
      <c r="M22" s="664"/>
      <c r="N22" s="664"/>
      <c r="O22" s="664"/>
      <c r="P22" s="664"/>
      <c r="Q22" s="664"/>
      <c r="R22" s="664"/>
      <c r="S22" s="664"/>
      <c r="T22" s="664"/>
      <c r="U22" s="664"/>
      <c r="V22" s="665"/>
    </row>
    <row r="23" spans="1:22" s="333" customFormat="1" x14ac:dyDescent="0.2">
      <c r="A23" s="335" t="s">
        <v>513</v>
      </c>
      <c r="B23" s="324">
        <f>B2</f>
        <v>2020</v>
      </c>
      <c r="C23" s="324">
        <f t="shared" ref="C23:O23" si="2">C2</f>
        <v>2021</v>
      </c>
      <c r="D23" s="324">
        <f t="shared" si="2"/>
        <v>2022</v>
      </c>
      <c r="E23" s="324">
        <f t="shared" si="2"/>
        <v>2023</v>
      </c>
      <c r="F23" s="324">
        <f t="shared" si="2"/>
        <v>2024</v>
      </c>
      <c r="G23" s="324">
        <f t="shared" si="2"/>
        <v>2025</v>
      </c>
      <c r="H23" s="324">
        <f t="shared" si="2"/>
        <v>2026</v>
      </c>
      <c r="I23" s="324">
        <f t="shared" si="2"/>
        <v>2027</v>
      </c>
      <c r="J23" s="324">
        <f t="shared" si="2"/>
        <v>2028</v>
      </c>
      <c r="K23" s="324">
        <f t="shared" si="2"/>
        <v>2029</v>
      </c>
      <c r="L23" s="324">
        <f t="shared" si="2"/>
        <v>2030</v>
      </c>
      <c r="M23" s="324">
        <f t="shared" si="2"/>
        <v>2031</v>
      </c>
      <c r="N23" s="324">
        <f t="shared" si="2"/>
        <v>2032</v>
      </c>
      <c r="O23" s="324">
        <f t="shared" si="2"/>
        <v>2033</v>
      </c>
      <c r="P23" s="324">
        <f t="shared" ref="P23:U23" si="3">P2</f>
        <v>2034</v>
      </c>
      <c r="Q23" s="324">
        <f t="shared" si="3"/>
        <v>2035</v>
      </c>
      <c r="R23" s="324">
        <f t="shared" si="3"/>
        <v>2036</v>
      </c>
      <c r="S23" s="324">
        <f t="shared" si="3"/>
        <v>2037</v>
      </c>
      <c r="T23" s="324">
        <f t="shared" si="3"/>
        <v>2038</v>
      </c>
      <c r="U23" s="324">
        <f t="shared" si="3"/>
        <v>2039</v>
      </c>
      <c r="V23" s="668"/>
    </row>
    <row r="24" spans="1:22" x14ac:dyDescent="0.2">
      <c r="A24" s="331" t="s">
        <v>788</v>
      </c>
      <c r="B24" s="334">
        <v>0</v>
      </c>
      <c r="C24" s="327">
        <f>IF(ISERROR(Asset!C60-Asset!D60),"",IF(Asset!C60-Asset!D60=0,"",Asset!C60-Asset!D60))</f>
        <v>-1.999999999999999E-2</v>
      </c>
      <c r="D24" s="327">
        <f>IF(ISERROR(Asset!D60-Asset!E60),"",IF(Asset!D60-Asset!E60=0,"",Asset!D60-Asset!E60))</f>
        <v>-3.9399999999999995</v>
      </c>
      <c r="E24" s="327">
        <f>IF(ISERROR(Asset!E60-Asset!F60),"",IF(Asset!E60-Asset!F60=0,"",Asset!E60-Asset!F60))</f>
        <v>-8.4400000000000013</v>
      </c>
      <c r="F24" s="327">
        <f>IF(ISERROR(Asset!F60-Asset!G60),"",IF(Asset!F60-Asset!G60=0,"",Asset!F60-Asset!G60))</f>
        <v>-9.2100000000000009</v>
      </c>
      <c r="G24" s="327" t="str">
        <f>IF(ISERROR(Asset!G60-Asset!H60),"",IF(Asset!G60-Asset!H60=0,"",Asset!G60-Asset!H60))</f>
        <v/>
      </c>
      <c r="H24" s="327" t="str">
        <f>IF(ISERROR(Asset!H60-Asset!I60),"",IF(Asset!H60-Asset!I60=0,"",Asset!H60-Asset!I60))</f>
        <v/>
      </c>
      <c r="I24" s="327" t="str">
        <f>IF(ISERROR(Asset!I60-Asset!J60),"",IF(Asset!I60-Asset!J60=0,"",Asset!I60-Asset!J60))</f>
        <v/>
      </c>
      <c r="J24" s="327" t="str">
        <f>IF(ISERROR(Asset!J60-Asset!K60),"",IF(Asset!J60-Asset!K60=0,"",Asset!J60-Asset!K60))</f>
        <v/>
      </c>
      <c r="K24" s="327" t="str">
        <f>IF(ISERROR(Asset!K60-Asset!L60),"",IF(Asset!K60-Asset!L60=0,"",Asset!K60-Asset!L60))</f>
        <v/>
      </c>
      <c r="L24" s="327" t="str">
        <f>IF(ISERROR(Asset!L60-Asset!M60),"",IF(Asset!L60-Asset!M60=0,"",Asset!L60-Asset!M60))</f>
        <v/>
      </c>
      <c r="M24" s="327" t="str">
        <f>IF(ISERROR(Asset!M60-Asset!N60),"",IF(Asset!M60-Asset!N60=0,"",Asset!M60-Asset!N60))</f>
        <v/>
      </c>
      <c r="N24" s="327" t="str">
        <f>IF(ISERROR(Asset!N60-Asset!O60),"",IF(Asset!N60-Asset!O60=0,"",Asset!N60-Asset!O60))</f>
        <v/>
      </c>
      <c r="O24" s="327" t="str">
        <f>IF(ISERROR(Asset!O60-Asset!P60),"",IF(Asset!O60-Asset!P60=0,"",Asset!O60-Asset!P60))</f>
        <v/>
      </c>
      <c r="P24" s="327">
        <f>IF(ISERROR(Asset!P60-Asset!Q60),"",IF(Asset!P60-Asset!Q60=0,"",Asset!P60-Asset!Q60))</f>
        <v>21.71</v>
      </c>
      <c r="Q24" s="327" t="str">
        <f>IF(ISERROR(Asset!Q60-Asset!R60),"",IF(Asset!Q60-Asset!R60=0,"",Asset!Q60-Asset!R60))</f>
        <v/>
      </c>
      <c r="R24" s="327" t="str">
        <f>IF(ISERROR(Asset!R60-Asset!S60),"",IF(Asset!R60-Asset!S60=0,"",Asset!R60-Asset!S60))</f>
        <v/>
      </c>
      <c r="S24" s="327" t="str">
        <f>IF(ISERROR(Asset!S60-Asset!T60),"",IF(Asset!S60-Asset!T60=0,"",Asset!S60-Asset!T60))</f>
        <v/>
      </c>
      <c r="T24" s="327" t="str">
        <f>IF(ISERROR(Asset!T60-Asset!U60),"",IF(Asset!T60-Asset!U60=0,"",Asset!T60-Asset!U60))</f>
        <v/>
      </c>
      <c r="U24" s="327" t="str">
        <f>IF(ISERROR(Asset!U60-Asset!V60),"",IF(Asset!U60-Asset!V60=0,"",Asset!U60-Asset!V60))</f>
        <v/>
      </c>
      <c r="V24" s="665"/>
    </row>
    <row r="25" spans="1:22" x14ac:dyDescent="0.2">
      <c r="A25" s="331" t="s">
        <v>612</v>
      </c>
      <c r="B25" s="334">
        <v>0</v>
      </c>
      <c r="C25" s="327" t="str">
        <f>IF(ISERROR(SUM(Asset!C70:C71)-SUM(Asset!D70:D71)),"",IF(SUM(Asset!C70:C71)-SUM(Asset!D70:D71)=0,"",SUM(Asset!C70:C71)-SUM(Asset!D70:D71)))</f>
        <v/>
      </c>
      <c r="D25" s="327" t="str">
        <f>IF(ISERROR(SUM(Asset!D70:D71)-SUM(Asset!E70:E71)),"",IF(SUM(Asset!D70:D71)-SUM(Asset!E70:E71)=0,"",SUM(Asset!D70:D71)-SUM(Asset!E70:E71)))</f>
        <v/>
      </c>
      <c r="E25" s="327" t="str">
        <f>IF(ISERROR(SUM(Asset!E70:E71)-SUM(Asset!F70:F71)),"",IF(SUM(Asset!E70:E71)-SUM(Asset!F70:F71)=0,"",SUM(Asset!E70:E71)-SUM(Asset!F70:F71)))</f>
        <v/>
      </c>
      <c r="F25" s="327" t="str">
        <f>IF(ISERROR(SUM(Asset!F70:F71)-SUM(Asset!G70:G71)),"",IF(SUM(Asset!F70:F71)-SUM(Asset!G70:G71)=0,"",SUM(Asset!F70:F71)-SUM(Asset!G70:G71)))</f>
        <v/>
      </c>
      <c r="G25" s="327" t="str">
        <f>IF(ISERROR(SUM(Asset!G70:G71)-SUM(Asset!H70:H71)),"",IF(SUM(Asset!G70:G71)-SUM(Asset!H70:H71)=0,"",SUM(Asset!G70:G71)-SUM(Asset!H70:H71)))</f>
        <v/>
      </c>
      <c r="H25" s="327" t="str">
        <f>IF(ISERROR(SUM(Asset!H70:H71)-SUM(Asset!I70:I71)),"",IF(SUM(Asset!H70:H71)-SUM(Asset!I70:I71)=0,"",SUM(Asset!H70:H71)-SUM(Asset!I70:I71)))</f>
        <v/>
      </c>
      <c r="I25" s="327" t="str">
        <f>IF(ISERROR(SUM(Asset!I70:I71)-SUM(Asset!J70:J71)),"",IF(SUM(Asset!I70:I71)-SUM(Asset!J70:J71)=0,"",SUM(Asset!I70:I71)-SUM(Asset!J70:J71)))</f>
        <v/>
      </c>
      <c r="J25" s="327" t="str">
        <f>IF(ISERROR(SUM(Asset!J70:J71)-SUM(Asset!K70:K71)),"",IF(SUM(Asset!J70:J71)-SUM(Asset!K70:K71)=0,"",SUM(Asset!J70:J71)-SUM(Asset!K70:K71)))</f>
        <v/>
      </c>
      <c r="K25" s="327" t="str">
        <f>IF(ISERROR(SUM(Asset!K70:K71)-SUM(Asset!L70:L71)),"",IF(SUM(Asset!K70:K71)-SUM(Asset!L70:L71)=0,"",SUM(Asset!K70:K71)-SUM(Asset!L70:L71)))</f>
        <v/>
      </c>
      <c r="L25" s="327" t="str">
        <f>IF(ISERROR(SUM(Asset!L70:L71)-SUM(Asset!M70:M71)),"",IF(SUM(Asset!L70:L71)-SUM(Asset!M70:M71)=0,"",SUM(Asset!L70:L71)-SUM(Asset!M70:M71)))</f>
        <v/>
      </c>
      <c r="M25" s="327" t="str">
        <f>IF(ISERROR(SUM(Asset!M70:M71)-SUM(Asset!N70:N71)),"",IF(SUM(Asset!M70:M71)-SUM(Asset!N70:N71)=0,"",SUM(Asset!M70:M71)-SUM(Asset!N70:N71)))</f>
        <v/>
      </c>
      <c r="N25" s="327" t="str">
        <f>IF(ISERROR(SUM(Asset!N70:N71)-SUM(Asset!O70:O71)),"",IF(SUM(Asset!N70:N71)-SUM(Asset!O70:O71)=0,"",SUM(Asset!N70:N71)-SUM(Asset!O70:O71)))</f>
        <v/>
      </c>
      <c r="O25" s="327" t="str">
        <f>IF(ISERROR(SUM(Asset!O70:O71)-SUM(Asset!P70:P71)),"",IF(SUM(Asset!O70:O71)-SUM(Asset!P70:P71)=0,"",SUM(Asset!O70:O71)-SUM(Asset!P70:P71)))</f>
        <v/>
      </c>
      <c r="P25" s="327" t="str">
        <f>IF(ISERROR(SUM(Asset!P70:P71)-SUM(Asset!Q70:Q71)),"",IF(SUM(Asset!P70:P71)-SUM(Asset!Q70:Q71)=0,"",SUM(Asset!P70:P71)-SUM(Asset!Q70:Q71)))</f>
        <v/>
      </c>
      <c r="Q25" s="327" t="str">
        <f>IF(ISERROR(SUM(Asset!Q70:Q71)-SUM(Asset!R70:R71)),"",IF(SUM(Asset!Q70:Q71)-SUM(Asset!R70:R71)=0,"",SUM(Asset!Q70:Q71)-SUM(Asset!R70:R71)))</f>
        <v/>
      </c>
      <c r="R25" s="327" t="str">
        <f>IF(ISERROR(SUM(Asset!R70:R71)-SUM(Asset!S70:S71)),"",IF(SUM(Asset!R70:R71)-SUM(Asset!S70:S71)=0,"",SUM(Asset!R70:R71)-SUM(Asset!S70:S71)))</f>
        <v/>
      </c>
      <c r="S25" s="327" t="str">
        <f>IF(ISERROR(SUM(Asset!S70:S71)-SUM(Asset!T70:T71)),"",IF(SUM(Asset!S70:S71)-SUM(Asset!T70:T71)=0,"",SUM(Asset!S70:S71)-SUM(Asset!T70:T71)))</f>
        <v/>
      </c>
      <c r="T25" s="327" t="str">
        <f>IF(ISERROR(SUM(Asset!T70:T71)-SUM(Asset!U70:U71)),"",IF(SUM(Asset!T70:T71)-SUM(Asset!U70:U71)=0,"",SUM(Asset!T70:T71)-SUM(Asset!U70:U71)))</f>
        <v/>
      </c>
      <c r="U25" s="327" t="str">
        <f>IF(ISERROR(SUM(Asset!U70:U71)-SUM(Asset!V70:V71)),"",IF(SUM(Asset!U70:U71)-SUM(Asset!V70:V71)=0,"",SUM(Asset!U70:U71)-SUM(Asset!V70:V71)))</f>
        <v/>
      </c>
      <c r="V25" s="665"/>
    </row>
    <row r="26" spans="1:22" x14ac:dyDescent="0.2">
      <c r="A26" s="331" t="s">
        <v>606</v>
      </c>
      <c r="B26" s="334">
        <v>0</v>
      </c>
      <c r="C26" s="327" t="str">
        <f>IF(ISERROR(Asset!C73-Asset!D73),"",IF(Asset!C73-Asset!D73=0,"",Asset!C73-Asset!D73))</f>
        <v/>
      </c>
      <c r="D26" s="327" t="str">
        <f>IF(ISERROR(Asset!D73-Asset!E73),"",IF(Asset!D73-Asset!E73=0,"",Asset!D73-Asset!E73))</f>
        <v/>
      </c>
      <c r="E26" s="327">
        <f>IF(ISERROR(Asset!E73-Asset!F73),"",IF(Asset!E73-Asset!F73=0,"",Asset!E73-Asset!F73))</f>
        <v>-1.52</v>
      </c>
      <c r="F26" s="327">
        <f>IF(ISERROR(Asset!F73-Asset!G73),"",IF(Asset!F73-Asset!G73=0,"",Asset!F73-Asset!G73))</f>
        <v>1.52</v>
      </c>
      <c r="G26" s="327" t="str">
        <f>IF(ISERROR(Asset!G73-Asset!H73),"",IF(Asset!G73-Asset!H73=0,"",Asset!G73-Asset!H73))</f>
        <v/>
      </c>
      <c r="H26" s="327" t="str">
        <f>IF(ISERROR(Asset!H73-Asset!I73),"",IF(Asset!H73-Asset!I73=0,"",Asset!H73-Asset!I73))</f>
        <v/>
      </c>
      <c r="I26" s="327" t="str">
        <f>IF(ISERROR(Asset!I73-Asset!J73),"",IF(Asset!I73-Asset!J73=0,"",Asset!I73-Asset!J73))</f>
        <v/>
      </c>
      <c r="J26" s="327" t="str">
        <f>IF(ISERROR(Asset!J73-Asset!K73),"",IF(Asset!J73-Asset!K73=0,"",Asset!J73-Asset!K73))</f>
        <v/>
      </c>
      <c r="K26" s="327" t="str">
        <f>IF(ISERROR(Asset!K73-Asset!L73),"",IF(Asset!K73-Asset!L73=0,"",Asset!K73-Asset!L73))</f>
        <v/>
      </c>
      <c r="L26" s="327" t="str">
        <f>IF(ISERROR(Asset!L73-Asset!M73),"",IF(Asset!L73-Asset!M73=0,"",Asset!L73-Asset!M73))</f>
        <v/>
      </c>
      <c r="M26" s="327" t="str">
        <f>IF(ISERROR(Asset!M73-Asset!N73),"",IF(Asset!M73-Asset!N73=0,"",Asset!M73-Asset!N73))</f>
        <v/>
      </c>
      <c r="N26" s="327" t="str">
        <f>IF(ISERROR(Asset!N73-Asset!O73),"",IF(Asset!N73-Asset!O73=0,"",Asset!N73-Asset!O73))</f>
        <v/>
      </c>
      <c r="O26" s="327" t="str">
        <f>IF(ISERROR(Asset!O73-Asset!P73),"",IF(Asset!O73-Asset!P73=0,"",Asset!O73-Asset!P73))</f>
        <v/>
      </c>
      <c r="P26" s="327" t="str">
        <f>IF(ISERROR(Asset!P73-Asset!Q73),"",IF(Asset!P73-Asset!Q73=0,"",Asset!P73-Asset!Q73))</f>
        <v/>
      </c>
      <c r="Q26" s="327" t="str">
        <f>IF(ISERROR(Asset!Q73-Asset!R73),"",IF(Asset!Q73-Asset!R73=0,"",Asset!Q73-Asset!R73))</f>
        <v/>
      </c>
      <c r="R26" s="327" t="str">
        <f>IF(ISERROR(Asset!R73-Asset!S73),"",IF(Asset!R73-Asset!S73=0,"",Asset!R73-Asset!S73))</f>
        <v/>
      </c>
      <c r="S26" s="327" t="str">
        <f>IF(ISERROR(Asset!S73-Asset!T73),"",IF(Asset!S73-Asset!T73=0,"",Asset!S73-Asset!T73))</f>
        <v/>
      </c>
      <c r="T26" s="327" t="str">
        <f>IF(ISERROR(Asset!T73-Asset!U73),"",IF(Asset!T73-Asset!U73=0,"",Asset!T73-Asset!U73))</f>
        <v/>
      </c>
      <c r="U26" s="327" t="str">
        <f>IF(ISERROR(Asset!U73-Asset!V73),"",IF(Asset!U73-Asset!V73=0,"",Asset!U73-Asset!V73))</f>
        <v/>
      </c>
      <c r="V26" s="665"/>
    </row>
    <row r="27" spans="1:22" x14ac:dyDescent="0.2">
      <c r="A27" s="331" t="s">
        <v>754</v>
      </c>
      <c r="B27" s="334">
        <v>0</v>
      </c>
      <c r="C27" s="327" t="str">
        <f>IF(ISERROR(SUM(Asset!C77:C84)-SUM(Asset!D77:D84)),"",IF(SUM(Asset!C77:C84)-SUM(Asset!D77:D84)=0,"",SUM(Asset!C77:C84)-SUM(Asset!D77:D84)))</f>
        <v/>
      </c>
      <c r="D27" s="327">
        <f>IF(ISERROR(SUM(Asset!D77:D84)-SUM(Asset!E77:E84)),"",IF(SUM(Asset!D77:D84)-SUM(Asset!E77:E84)=0,"",SUM(Asset!D77:D84)-SUM(Asset!E77:E84)))</f>
        <v>-0.17</v>
      </c>
      <c r="E27" s="327" t="str">
        <f>IF(ISERROR(SUM(Asset!E77:E84)-SUM(Asset!F77:F84)),"",IF(SUM(Asset!E77:E84)-SUM(Asset!F77:F84)=0,"",SUM(Asset!E77:E84)-SUM(Asset!F77:F84)))</f>
        <v/>
      </c>
      <c r="F27" s="327">
        <f>IF(ISERROR(SUM(Asset!F77:F84)-SUM(Asset!G77:G84)),"",IF(SUM(Asset!F77:F84)-SUM(Asset!G77:G84)=0,"",SUM(Asset!F77:F84)-SUM(Asset!G77:G84)))</f>
        <v>-0.15</v>
      </c>
      <c r="G27" s="327" t="str">
        <f>IF(ISERROR(SUM(Asset!G77:G84)-SUM(Asset!H77:H84)),"",IF(SUM(Asset!G77:G84)-SUM(Asset!H77:H84)=0,"",SUM(Asset!G77:G84)-SUM(Asset!H77:H84)))</f>
        <v/>
      </c>
      <c r="H27" s="327" t="str">
        <f>IF(ISERROR(SUM(Asset!H77:H84)-SUM(Asset!I77:I84)),"",IF(SUM(Asset!H77:H84)-SUM(Asset!I77:I84)=0,"",SUM(Asset!H77:H84)-SUM(Asset!I77:I84)))</f>
        <v/>
      </c>
      <c r="I27" s="327" t="str">
        <f>IF(ISERROR(SUM(Asset!I77:I84)-SUM(Asset!J77:J84)),"",IF(SUM(Asset!I77:I84)-SUM(Asset!J77:J84)=0,"",SUM(Asset!I77:I84)-SUM(Asset!J77:J84)))</f>
        <v/>
      </c>
      <c r="J27" s="327" t="str">
        <f>IF(ISERROR(SUM(Asset!J77:J84)-SUM(Asset!K77:K84)),"",IF(SUM(Asset!J77:J84)-SUM(Asset!K77:K84)=0,"",SUM(Asset!J77:J84)-SUM(Asset!K77:K84)))</f>
        <v/>
      </c>
      <c r="K27" s="327" t="str">
        <f>IF(ISERROR(SUM(Asset!K77:K84)-SUM(Asset!L77:L84)),"",IF(SUM(Asset!K77:K84)-SUM(Asset!L77:L84)=0,"",SUM(Asset!K77:K84)-SUM(Asset!L77:L84)))</f>
        <v/>
      </c>
      <c r="L27" s="327" t="str">
        <f>IF(ISERROR(SUM(Asset!L77:L84)-SUM(Asset!M77:M84)),"",IF(SUM(Asset!L77:L84)-SUM(Asset!M77:M84)=0,"",SUM(Asset!L77:L84)-SUM(Asset!M77:M84)))</f>
        <v/>
      </c>
      <c r="M27" s="327">
        <f>IF(ISERROR(SUM(Asset!M77:M84)-SUM(Asset!N77:N84)),"",IF(SUM(Asset!M77:M84)-SUM(Asset!N77:N84)=0,"",SUM(Asset!M77:M84)-SUM(Asset!N77:N84)))</f>
        <v>0.32</v>
      </c>
      <c r="N27" s="327" t="str">
        <f>IF(ISERROR(SUM(Asset!N77:N84)-SUM(Asset!O77:O84)),"",IF(SUM(Asset!N77:N84)-SUM(Asset!O77:O84)=0,"",SUM(Asset!N77:N84)-SUM(Asset!O77:O84)))</f>
        <v/>
      </c>
      <c r="O27" s="327" t="str">
        <f>IF(ISERROR(SUM(Asset!O77:O84)-SUM(Asset!P77:P84)),"",IF(SUM(Asset!O77:O84)-SUM(Asset!P77:P84)=0,"",SUM(Asset!O77:O84)-SUM(Asset!P77:P84)))</f>
        <v/>
      </c>
      <c r="P27" s="327" t="str">
        <f>IF(ISERROR(SUM(Asset!P77:P84)-SUM(Asset!Q77:Q84)),"",IF(SUM(Asset!P77:P84)-SUM(Asset!Q77:Q84)=0,"",SUM(Asset!P77:P84)-SUM(Asset!Q77:Q84)))</f>
        <v/>
      </c>
      <c r="Q27" s="327" t="str">
        <f>IF(ISERROR(SUM(Asset!Q77:Q84)-SUM(Asset!R77:R84)),"",IF(SUM(Asset!Q77:Q84)-SUM(Asset!R77:R84)=0,"",SUM(Asset!Q77:Q84)-SUM(Asset!R77:R84)))</f>
        <v/>
      </c>
      <c r="R27" s="327" t="str">
        <f>IF(ISERROR(SUM(Asset!R77:R84)-SUM(Asset!S77:S84)),"",IF(SUM(Asset!R77:R84)-SUM(Asset!S77:S84)=0,"",SUM(Asset!R77:R84)-SUM(Asset!S77:S84)))</f>
        <v/>
      </c>
      <c r="S27" s="327" t="str">
        <f>IF(ISERROR(SUM(Asset!S77:S84)-SUM(Asset!T77:T84)),"",IF(SUM(Asset!S77:S84)-SUM(Asset!T77:T84)=0,"",SUM(Asset!S77:S84)-SUM(Asset!T77:T84)))</f>
        <v/>
      </c>
      <c r="T27" s="327" t="str">
        <f>IF(ISERROR(SUM(Asset!T77:T84)-SUM(Asset!U77:U84)),"",IF(SUM(Asset!T77:T84)-SUM(Asset!U77:U84)=0,"",SUM(Asset!T77:T84)-SUM(Asset!U77:U84)))</f>
        <v/>
      </c>
      <c r="U27" s="327" t="str">
        <f>IF(ISERROR(SUM(Asset!U77:U84)-SUM(Asset!V77:V84)),"",IF(SUM(Asset!U77:U84)-SUM(Asset!V77:V84)=0,"",SUM(Asset!U77:U84)-SUM(Asset!V77:V84)))</f>
        <v/>
      </c>
      <c r="V27" s="665"/>
    </row>
    <row r="28" spans="1:22" s="300" customFormat="1" x14ac:dyDescent="0.2">
      <c r="A28" s="331" t="s">
        <v>774</v>
      </c>
      <c r="B28" s="334">
        <v>0</v>
      </c>
      <c r="C28" s="73" t="str">
        <f>IF(ISERROR(Asset!C89-Asset!D89),"",IF(Asset!C89-Asset!D89=0,"",Asset!C89-Asset!D89))</f>
        <v/>
      </c>
      <c r="D28" s="73" t="str">
        <f>IF(ISERROR(Asset!D89-Asset!E89),"",IF(Asset!D89-Asset!E89=0,"",Asset!D89-Asset!E89))</f>
        <v/>
      </c>
      <c r="E28" s="73">
        <f>IF(ISERROR(Asset!E89-Asset!F89),"",IF(Asset!E89-Asset!F89=0,"",Asset!E89-Asset!F89))</f>
        <v>-0.08</v>
      </c>
      <c r="F28" s="73" t="str">
        <f>IF(ISERROR(Asset!F89-Asset!G89),"",IF(Asset!F89-Asset!G89=0,"",Asset!F89-Asset!G89))</f>
        <v/>
      </c>
      <c r="G28" s="73">
        <f>IF(ISERROR(Asset!G89-Asset!H89),"",IF(Asset!G89-Asset!H89=0,"",Asset!G89-Asset!H89))</f>
        <v>2.0000000000000004E-2</v>
      </c>
      <c r="H28" s="73">
        <f>IF(ISERROR(Asset!H89-Asset!I89),"",IF(Asset!H89-Asset!I89=0,"",Asset!H89-Asset!I89))</f>
        <v>1.9999999999999997E-2</v>
      </c>
      <c r="I28" s="73">
        <f>IF(ISERROR(Asset!I89-Asset!J89),"",IF(Asset!I89-Asset!J89=0,"",Asset!I89-Asset!J89))</f>
        <v>0.02</v>
      </c>
      <c r="J28" s="73">
        <f>IF(ISERROR(Asset!J89-Asset!K89),"",IF(Asset!J89-Asset!K89=0,"",Asset!J89-Asset!K89))</f>
        <v>0.02</v>
      </c>
      <c r="K28" s="73" t="str">
        <f>IF(ISERROR(Asset!K89-Asset!L89),"",IF(Asset!K89-Asset!L89=0,"",Asset!K89-Asset!L89))</f>
        <v/>
      </c>
      <c r="L28" s="73" t="str">
        <f>IF(ISERROR(Asset!L89-Asset!M89),"",IF(Asset!L89-Asset!M89=0,"",Asset!L89-Asset!M89))</f>
        <v/>
      </c>
      <c r="M28" s="73" t="str">
        <f>IF(ISERROR(Asset!M89-Asset!N89),"",IF(Asset!M89-Asset!N89=0,"",Asset!M89-Asset!N89))</f>
        <v/>
      </c>
      <c r="N28" s="73" t="str">
        <f>IF(ISERROR(Asset!N89-Asset!O89),"",IF(Asset!N89-Asset!O89=0,"",Asset!N89-Asset!O89))</f>
        <v/>
      </c>
      <c r="O28" s="73" t="str">
        <f>IF(ISERROR(Asset!O89-Asset!P89),"",IF(Asset!O89-Asset!P89=0,"",Asset!O89-Asset!P89))</f>
        <v/>
      </c>
      <c r="P28" s="73" t="str">
        <f>IF(ISERROR(Asset!P89-Asset!Q89),"",IF(Asset!P89-Asset!Q89=0,"",Asset!P89-Asset!Q89))</f>
        <v/>
      </c>
      <c r="Q28" s="73" t="str">
        <f>IF(ISERROR(Asset!Q89-Asset!R89),"",IF(Asset!Q89-Asset!R89=0,"",Asset!Q89-Asset!R89))</f>
        <v/>
      </c>
      <c r="R28" s="73" t="str">
        <f>IF(ISERROR(Asset!R89-Asset!S89),"",IF(Asset!R89-Asset!S89=0,"",Asset!R89-Asset!S89))</f>
        <v/>
      </c>
      <c r="S28" s="73" t="str">
        <f>IF(ISERROR(Asset!S89-Asset!T89),"",IF(Asset!S89-Asset!T89=0,"",Asset!S89-Asset!T89))</f>
        <v/>
      </c>
      <c r="T28" s="73" t="str">
        <f>IF(ISERROR(Asset!T89-Asset!U89),"",IF(Asset!T89-Asset!U89=0,"",Asset!T89-Asset!U89))</f>
        <v/>
      </c>
      <c r="U28" s="73" t="str">
        <f>IF(ISERROR(Asset!U89-Asset!V89),"",IF(Asset!U89-Asset!V89=0,"",Asset!U89-Asset!V89))</f>
        <v/>
      </c>
      <c r="V28" s="625"/>
    </row>
    <row r="29" spans="1:22" x14ac:dyDescent="0.2">
      <c r="A29" s="331" t="s">
        <v>602</v>
      </c>
      <c r="B29" s="327" t="str">
        <f>IF(ISERROR('Oper.St.'!C82),"",IF('Oper.St.'!C82=0,"",'Oper.St.'!C82))</f>
        <v/>
      </c>
      <c r="C29" s="327" t="str">
        <f>IF(ISERROR('Oper.St.'!D82),"",IF('Oper.St.'!D82=0,"",'Oper.St.'!D82))</f>
        <v/>
      </c>
      <c r="D29" s="327" t="str">
        <f>IF(ISERROR('Oper.St.'!E82),"",IF('Oper.St.'!E82=0,"",'Oper.St.'!E82))</f>
        <v/>
      </c>
      <c r="E29" s="327" t="str">
        <f>IF(ISERROR('Oper.St.'!F82),"",IF('Oper.St.'!F82=0,"",'Oper.St.'!F82))</f>
        <v/>
      </c>
      <c r="F29" s="327" t="str">
        <f>IF(ISERROR('Oper.St.'!G82),"",IF('Oper.St.'!G82=0,"",'Oper.St.'!G82))</f>
        <v/>
      </c>
      <c r="G29" s="327" t="str">
        <f>IF(ISERROR('Oper.St.'!H82),"",IF('Oper.St.'!H82=0,"",'Oper.St.'!H82))</f>
        <v/>
      </c>
      <c r="H29" s="327" t="str">
        <f>IF(ISERROR('Oper.St.'!I82),"",IF('Oper.St.'!I82=0,"",'Oper.St.'!I82))</f>
        <v/>
      </c>
      <c r="I29" s="327" t="str">
        <f>IF(ISERROR('Oper.St.'!J82),"",IF('Oper.St.'!J82=0,"",'Oper.St.'!J82))</f>
        <v/>
      </c>
      <c r="J29" s="327" t="str">
        <f>IF(ISERROR('Oper.St.'!K82),"",IF('Oper.St.'!K82=0,"",'Oper.St.'!K82))</f>
        <v/>
      </c>
      <c r="K29" s="327" t="str">
        <f>IF(ISERROR('Oper.St.'!L82),"",IF('Oper.St.'!L82=0,"",'Oper.St.'!L82))</f>
        <v/>
      </c>
      <c r="L29" s="327" t="str">
        <f>IF(ISERROR('Oper.St.'!M82),"",IF('Oper.St.'!M82=0,"",'Oper.St.'!M82))</f>
        <v/>
      </c>
      <c r="M29" s="327" t="str">
        <f>IF(ISERROR('Oper.St.'!N82),"",IF('Oper.St.'!N82=0,"",'Oper.St.'!N82))</f>
        <v/>
      </c>
      <c r="N29" s="327" t="str">
        <f>IF(ISERROR('Oper.St.'!O82),"",IF('Oper.St.'!O82=0,"",'Oper.St.'!O82))</f>
        <v/>
      </c>
      <c r="O29" s="327" t="str">
        <f>IF(ISERROR('Oper.St.'!P82),"",IF('Oper.St.'!P82=0,"",'Oper.St.'!P82))</f>
        <v/>
      </c>
      <c r="P29" s="327" t="str">
        <f>IF(ISERROR('Oper.St.'!Q82),"",IF('Oper.St.'!Q82=0,"",'Oper.St.'!Q82))</f>
        <v/>
      </c>
      <c r="Q29" s="327" t="str">
        <f>IF(ISERROR('Oper.St.'!R82),"",IF('Oper.St.'!R82=0,"",'Oper.St.'!R82))</f>
        <v/>
      </c>
      <c r="R29" s="327" t="str">
        <f>IF(ISERROR('Oper.St.'!S82),"",IF('Oper.St.'!S82=0,"",'Oper.St.'!S82))</f>
        <v/>
      </c>
      <c r="S29" s="327" t="str">
        <f>IF(ISERROR('Oper.St.'!T82),"",IF('Oper.St.'!T82=0,"",'Oper.St.'!T82))</f>
        <v/>
      </c>
      <c r="T29" s="327" t="str">
        <f>IF(ISERROR('Oper.St.'!U82),"",IF('Oper.St.'!U82=0,"",'Oper.St.'!U82))</f>
        <v/>
      </c>
      <c r="U29" s="327" t="str">
        <f>IF(ISERROR('Oper.St.'!V82),"",IF('Oper.St.'!V82=0,"",'Oper.St.'!V82))</f>
        <v/>
      </c>
      <c r="V29" s="665"/>
    </row>
    <row r="30" spans="1:22" x14ac:dyDescent="0.2">
      <c r="A30" s="329" t="s">
        <v>452</v>
      </c>
      <c r="B30" s="327"/>
      <c r="C30" s="327"/>
      <c r="D30" s="327"/>
      <c r="E30" s="327"/>
      <c r="F30" s="327"/>
      <c r="G30" s="327"/>
      <c r="H30" s="327"/>
      <c r="I30" s="327"/>
      <c r="J30" s="327"/>
      <c r="K30" s="327"/>
      <c r="L30" s="327"/>
      <c r="M30" s="327"/>
      <c r="N30" s="327"/>
      <c r="O30" s="327"/>
      <c r="P30" s="327"/>
      <c r="Q30" s="327"/>
      <c r="R30" s="327"/>
      <c r="S30" s="327"/>
      <c r="T30" s="327"/>
      <c r="U30" s="327"/>
      <c r="V30" s="665"/>
    </row>
    <row r="31" spans="1:22" x14ac:dyDescent="0.2">
      <c r="A31" s="331" t="s">
        <v>603</v>
      </c>
      <c r="B31" s="327">
        <f>'Oper.St.'!C88</f>
        <v>0</v>
      </c>
      <c r="C31" s="327">
        <f>'Oper.St.'!D88</f>
        <v>0</v>
      </c>
      <c r="D31" s="327">
        <f>'Oper.St.'!E88</f>
        <v>0</v>
      </c>
      <c r="E31" s="327">
        <f>'Oper.St.'!F88</f>
        <v>0</v>
      </c>
      <c r="F31" s="327">
        <f>'Oper.St.'!G88</f>
        <v>0.02</v>
      </c>
      <c r="G31" s="327">
        <f>'Oper.St.'!H88</f>
        <v>0.02</v>
      </c>
      <c r="H31" s="327">
        <f>'Oper.St.'!I88</f>
        <v>0.02</v>
      </c>
      <c r="I31" s="327">
        <f>'Oper.St.'!J88</f>
        <v>0.02</v>
      </c>
      <c r="J31" s="327">
        <f>'Oper.St.'!K88</f>
        <v>0.02</v>
      </c>
      <c r="K31" s="327">
        <f>'Oper.St.'!L88</f>
        <v>0</v>
      </c>
      <c r="L31" s="327">
        <f>'Oper.St.'!M88</f>
        <v>0</v>
      </c>
      <c r="M31" s="327">
        <f>'Oper.St.'!N88</f>
        <v>0</v>
      </c>
      <c r="N31" s="327">
        <f>'Oper.St.'!O88</f>
        <v>0</v>
      </c>
      <c r="O31" s="327">
        <f>'Oper.St.'!P88</f>
        <v>0</v>
      </c>
      <c r="P31" s="327">
        <f>'Oper.St.'!Q88</f>
        <v>0</v>
      </c>
      <c r="Q31" s="327">
        <f>'Oper.St.'!R88</f>
        <v>0</v>
      </c>
      <c r="R31" s="327">
        <f>'Oper.St.'!S88</f>
        <v>0</v>
      </c>
      <c r="S31" s="327">
        <f>'Oper.St.'!T88</f>
        <v>0</v>
      </c>
      <c r="T31" s="327">
        <f>'Oper.St.'!U88</f>
        <v>0</v>
      </c>
      <c r="U31" s="327">
        <f>'Oper.St.'!V88</f>
        <v>0</v>
      </c>
      <c r="V31" s="665"/>
    </row>
    <row r="32" spans="1:22" s="333" customFormat="1" x14ac:dyDescent="0.2">
      <c r="A32" s="326" t="s">
        <v>499</v>
      </c>
      <c r="B32" s="332">
        <f>SUM(B24:B29)-B31</f>
        <v>0</v>
      </c>
      <c r="C32" s="332">
        <f>SUM(C24:C29)-C31</f>
        <v>-1.999999999999999E-2</v>
      </c>
      <c r="D32" s="332">
        <f t="shared" ref="D32:U32" si="4">SUM(D24:D29)-D31</f>
        <v>-4.1099999999999994</v>
      </c>
      <c r="E32" s="332">
        <f t="shared" si="4"/>
        <v>-10.040000000000001</v>
      </c>
      <c r="F32" s="332">
        <f t="shared" si="4"/>
        <v>-7.8600000000000012</v>
      </c>
      <c r="G32" s="332">
        <f t="shared" si="4"/>
        <v>0</v>
      </c>
      <c r="H32" s="332">
        <f t="shared" si="4"/>
        <v>0</v>
      </c>
      <c r="I32" s="332">
        <f t="shared" si="4"/>
        <v>0</v>
      </c>
      <c r="J32" s="332">
        <f t="shared" si="4"/>
        <v>0</v>
      </c>
      <c r="K32" s="332">
        <f t="shared" si="4"/>
        <v>0</v>
      </c>
      <c r="L32" s="332">
        <f t="shared" si="4"/>
        <v>0</v>
      </c>
      <c r="M32" s="332">
        <f t="shared" si="4"/>
        <v>0.32</v>
      </c>
      <c r="N32" s="332">
        <f t="shared" si="4"/>
        <v>0</v>
      </c>
      <c r="O32" s="332">
        <f t="shared" si="4"/>
        <v>0</v>
      </c>
      <c r="P32" s="332">
        <f t="shared" si="4"/>
        <v>21.71</v>
      </c>
      <c r="Q32" s="332">
        <f t="shared" si="4"/>
        <v>0</v>
      </c>
      <c r="R32" s="332">
        <f t="shared" si="4"/>
        <v>0</v>
      </c>
      <c r="S32" s="332">
        <f t="shared" si="4"/>
        <v>0</v>
      </c>
      <c r="T32" s="332">
        <f t="shared" si="4"/>
        <v>0</v>
      </c>
      <c r="U32" s="332">
        <f t="shared" si="4"/>
        <v>0</v>
      </c>
      <c r="V32" s="668"/>
    </row>
    <row r="33" spans="1:22" x14ac:dyDescent="0.2">
      <c r="A33" s="663"/>
      <c r="B33" s="664"/>
      <c r="C33" s="664"/>
      <c r="D33" s="664"/>
      <c r="E33" s="664"/>
      <c r="F33" s="664"/>
      <c r="G33" s="664"/>
      <c r="H33" s="664"/>
      <c r="I33" s="664"/>
      <c r="J33" s="664"/>
      <c r="K33" s="664"/>
      <c r="L33" s="664"/>
      <c r="M33" s="664"/>
      <c r="N33" s="664"/>
      <c r="O33" s="664"/>
      <c r="P33" s="664"/>
      <c r="Q33" s="664"/>
      <c r="R33" s="664"/>
      <c r="S33" s="664"/>
      <c r="T33" s="664"/>
      <c r="U33" s="664"/>
      <c r="V33" s="665"/>
    </row>
    <row r="34" spans="1:22" s="333" customFormat="1" x14ac:dyDescent="0.2">
      <c r="A34" s="335" t="s">
        <v>447</v>
      </c>
      <c r="B34" s="324">
        <f>B23</f>
        <v>2020</v>
      </c>
      <c r="C34" s="324">
        <f t="shared" ref="C34:O34" si="5">C23</f>
        <v>2021</v>
      </c>
      <c r="D34" s="324">
        <f t="shared" si="5"/>
        <v>2022</v>
      </c>
      <c r="E34" s="324">
        <f t="shared" si="5"/>
        <v>2023</v>
      </c>
      <c r="F34" s="324">
        <f t="shared" si="5"/>
        <v>2024</v>
      </c>
      <c r="G34" s="324">
        <f t="shared" si="5"/>
        <v>2025</v>
      </c>
      <c r="H34" s="324">
        <f t="shared" si="5"/>
        <v>2026</v>
      </c>
      <c r="I34" s="324">
        <f t="shared" si="5"/>
        <v>2027</v>
      </c>
      <c r="J34" s="324">
        <f t="shared" si="5"/>
        <v>2028</v>
      </c>
      <c r="K34" s="324">
        <f t="shared" si="5"/>
        <v>2029</v>
      </c>
      <c r="L34" s="324">
        <f t="shared" si="5"/>
        <v>2030</v>
      </c>
      <c r="M34" s="324">
        <f t="shared" si="5"/>
        <v>2031</v>
      </c>
      <c r="N34" s="324">
        <f t="shared" si="5"/>
        <v>2032</v>
      </c>
      <c r="O34" s="324">
        <f t="shared" si="5"/>
        <v>2033</v>
      </c>
      <c r="P34" s="324">
        <f t="shared" ref="P34:U34" si="6">P23</f>
        <v>2034</v>
      </c>
      <c r="Q34" s="324">
        <f t="shared" si="6"/>
        <v>2035</v>
      </c>
      <c r="R34" s="324">
        <f t="shared" si="6"/>
        <v>2036</v>
      </c>
      <c r="S34" s="324">
        <f t="shared" si="6"/>
        <v>2037</v>
      </c>
      <c r="T34" s="324">
        <f t="shared" si="6"/>
        <v>2038</v>
      </c>
      <c r="U34" s="324">
        <f t="shared" si="6"/>
        <v>2039</v>
      </c>
      <c r="V34" s="668"/>
    </row>
    <row r="35" spans="1:22" x14ac:dyDescent="0.2">
      <c r="A35" s="331" t="s">
        <v>760</v>
      </c>
      <c r="B35" s="334">
        <v>0</v>
      </c>
      <c r="C35" s="327" t="str">
        <f>IF(ISERROR(Liab!D34+SUM(Liab!D65:D66)-Liab!C34-SUM(Liab!C65:C66)),"",IF(Liab!D34+SUM(Liab!D65:D66)-Liab!C34-SUM(Liab!C65:C66)=0,"",Liab!D34+SUM(Liab!D65:D66)-Liab!C34-SUM(Liab!C65:C66)))</f>
        <v/>
      </c>
      <c r="D35" s="327">
        <f>IF(ISERROR(Liab!E34+SUM(Liab!E65:E66)-Liab!D34-SUM(Liab!D65:D66)),"",IF(Liab!E34+SUM(Liab!E65:E66)-Liab!D34-SUM(Liab!D65:D66)=0,"",Liab!E34+SUM(Liab!E65:E66)-Liab!D34-SUM(Liab!D65:D66)))</f>
        <v>0.88</v>
      </c>
      <c r="E35" s="327">
        <f>IF(ISERROR(Liab!F34+SUM(Liab!F65:F66)-Liab!E34-SUM(Liab!E65:E66)),"",IF(Liab!F34+SUM(Liab!F65:F66)-Liab!E34-SUM(Liab!E65:E66)=0,"",Liab!F34+SUM(Liab!F65:F66)-Liab!E34-SUM(Liab!E65:E66)))</f>
        <v>4.29</v>
      </c>
      <c r="F35" s="327">
        <f>IF(ISERROR(Liab!G34+SUM(Liab!G65:G66)-Liab!F34-SUM(Liab!F65:F66)),"",IF(Liab!G34+SUM(Liab!G65:G66)-Liab!F34-SUM(Liab!F65:F66)=0,"",Liab!G34+SUM(Liab!G65:G66)-Liab!F34-SUM(Liab!F65:F66)))</f>
        <v>7.7100000000000009</v>
      </c>
      <c r="G35" s="327">
        <f>IF(ISERROR(Liab!H34+SUM(Liab!H65:H66)-Liab!G34-SUM(Liab!G65:G66)),"",IF(Liab!H34+SUM(Liab!H65:H66)-Liab!G34-SUM(Liab!G65:G66)=0,"",Liab!H34+SUM(Liab!H65:H66)-Liab!G34-SUM(Liab!G65:G66)))</f>
        <v>-2.0599999999999969</v>
      </c>
      <c r="H35" s="327">
        <f>IF(ISERROR(Liab!I34+SUM(Liab!I65:I66)-Liab!H34-SUM(Liab!H65:H66)),"",IF(Liab!I34+SUM(Liab!I65:I66)-Liab!H34-SUM(Liab!H65:H66)=0,"",Liab!I34+SUM(Liab!I65:I66)-Liab!H34-SUM(Liab!H65:H66)))</f>
        <v>-1.4399999999999906</v>
      </c>
      <c r="I35" s="327">
        <f>IF(ISERROR(Liab!J34+SUM(Liab!J65:J66)-Liab!I34-SUM(Liab!I65:I66)),"",IF(Liab!J34+SUM(Liab!J65:J66)-Liab!I34-SUM(Liab!I65:I66)=0,"",Liab!J34+SUM(Liab!J65:J66)-Liab!I34-SUM(Liab!I65:I66)))</f>
        <v>-1.8200000000000038</v>
      </c>
      <c r="J35" s="327">
        <f>IF(ISERROR(Liab!K34+SUM(Liab!K65:K66)-Liab!J34-SUM(Liab!J65:J66)),"",IF(Liab!K34+SUM(Liab!K65:K66)-Liab!J34-SUM(Liab!J65:J66)=0,"",Liab!K34+SUM(Liab!K65:K66)-Liab!J34-SUM(Liab!J65:J66)))</f>
        <v>-2.1599999999999961</v>
      </c>
      <c r="K35" s="327">
        <f>IF(ISERROR(Liab!L34+SUM(Liab!L65:L66)-Liab!K34-SUM(Liab!K65:K66)),"",IF(Liab!L34+SUM(Liab!L65:L66)-Liab!K34-SUM(Liab!K65:K66)=0,"",Liab!L34+SUM(Liab!L65:L66)-Liab!K34-SUM(Liab!K65:K66)))</f>
        <v>-2.4000000000000021</v>
      </c>
      <c r="L35" s="327">
        <f>IF(ISERROR(Liab!M34+SUM(Liab!M65:M66)-Liab!L34-SUM(Liab!L65:L66)),"",IF(Liab!M34+SUM(Liab!M65:M66)-Liab!L34-SUM(Liab!L65:L66)=0,"",Liab!M34+SUM(Liab!M65:M66)-Liab!L34-SUM(Liab!L65:L66)))</f>
        <v>-3.0000000000000107</v>
      </c>
      <c r="M35" s="327" t="str">
        <f>IF(ISERROR(Liab!N34+SUM(Liab!N65:N66)-Liab!M34-SUM(Liab!M65:M66)),"",IF(Liab!N34+SUM(Liab!N65:N66)-Liab!M34-SUM(Liab!M65:M66)=0,"",Liab!N34+SUM(Liab!N65:N66)-Liab!M34-SUM(Liab!M65:M66)))</f>
        <v/>
      </c>
      <c r="N35" s="327" t="str">
        <f>IF(ISERROR(Liab!O34+SUM(Liab!O65:O66)-Liab!N34-SUM(Liab!N65:N66)),"",IF(Liab!O34+SUM(Liab!O65:O66)-Liab!N34-SUM(Liab!N65:N66)=0,"",Liab!O34+SUM(Liab!O65:O66)-Liab!N34-SUM(Liab!N65:N66)))</f>
        <v/>
      </c>
      <c r="O35" s="327" t="str">
        <f>IF(ISERROR(Liab!P34+SUM(Liab!P65:P66)-Liab!O34-SUM(Liab!O65:O66)),"",IF(Liab!P34+SUM(Liab!P65:P66)-Liab!O34-SUM(Liab!O65:O66)=0,"",Liab!P34+SUM(Liab!P65:P66)-Liab!O34-SUM(Liab!O65:O66)))</f>
        <v/>
      </c>
      <c r="P35" s="327" t="str">
        <f>IF(ISERROR(Liab!Q34+SUM(Liab!Q65:Q66)-Liab!P34-SUM(Liab!P65:P66)),"",IF(Liab!Q34+SUM(Liab!Q65:Q66)-Liab!P34-SUM(Liab!P65:P66)=0,"",Liab!Q34+SUM(Liab!Q65:Q66)-Liab!P34-SUM(Liab!P65:P66)))</f>
        <v/>
      </c>
      <c r="Q35" s="327" t="str">
        <f>IF(ISERROR(Liab!R34+SUM(Liab!R65:R66)-Liab!Q34-SUM(Liab!Q65:Q66)),"",IF(Liab!R34+SUM(Liab!R65:R66)-Liab!Q34-SUM(Liab!Q65:Q66)=0,"",Liab!R34+SUM(Liab!R65:R66)-Liab!Q34-SUM(Liab!Q65:Q66)))</f>
        <v/>
      </c>
      <c r="R35" s="327" t="str">
        <f>IF(ISERROR(Liab!S34+SUM(Liab!S65:S66)-Liab!R34-SUM(Liab!R65:R66)),"",IF(Liab!S34+SUM(Liab!S65:S66)-Liab!R34-SUM(Liab!R65:R66)=0,"",Liab!S34+SUM(Liab!S65:S66)-Liab!R34-SUM(Liab!R65:R66)))</f>
        <v/>
      </c>
      <c r="S35" s="327" t="str">
        <f>IF(ISERROR(Liab!T34+SUM(Liab!T65:T66)-Liab!S34-SUM(Liab!S65:S66)),"",IF(Liab!T34+SUM(Liab!T65:T66)-Liab!S34-SUM(Liab!S65:S66)=0,"",Liab!T34+SUM(Liab!T65:T66)-Liab!S34-SUM(Liab!S65:S66)))</f>
        <v/>
      </c>
      <c r="T35" s="327" t="str">
        <f>IF(ISERROR(Liab!U34+SUM(Liab!U65:U66)-Liab!T34-SUM(Liab!T65:T66)),"",IF(Liab!U34+SUM(Liab!U65:U66)-Liab!T34-SUM(Liab!T65:T66)=0,"",Liab!U34+SUM(Liab!U65:U66)-Liab!T34-SUM(Liab!T65:T66)))</f>
        <v/>
      </c>
      <c r="U35" s="327" t="str">
        <f>IF(ISERROR(Liab!V34+SUM(Liab!V65:V66)-Liab!U34-SUM(Liab!U65:U66)),"",IF(Liab!V34+SUM(Liab!V65:V66)-Liab!U34-SUM(Liab!U65:U66)=0,"",Liab!V34+SUM(Liab!V65:V66)-Liab!U34-SUM(Liab!U65:U66)))</f>
        <v/>
      </c>
      <c r="V35" s="665"/>
    </row>
    <row r="36" spans="1:22" x14ac:dyDescent="0.2">
      <c r="A36" s="331" t="s">
        <v>755</v>
      </c>
      <c r="B36" s="334">
        <v>0</v>
      </c>
      <c r="C36" s="327" t="str">
        <f>IF(ISERROR(Liab!D61+Liab!D63+SUM(Liab!D67:D72)+Liab!D74-Liab!C61-Liab!C63-SUM(Liab!C67:C72)-Liab!C74),"",IF(Liab!D61+Liab!D63+SUM(Liab!D67:D72)+Liab!D74-Liab!C61-Liab!C63-SUM(Liab!C67:C72)-Liab!C74=0,"",Liab!D61+Liab!D63+SUM(Liab!D67:D72)+Liab!D74-Liab!C61-Liab!C63-SUM(Liab!C67:C72)-Liab!C74))</f>
        <v/>
      </c>
      <c r="D36" s="327">
        <f>IF(ISERROR(Liab!E61+Liab!E63+SUM(Liab!E67:E72)+Liab!E74-Liab!D61-Liab!D63-SUM(Liab!D67:D72)-Liab!D74),"",IF(Liab!E61+Liab!E63+SUM(Liab!E67:E72)+Liab!E74-Liab!D61-Liab!D63-SUM(Liab!D67:D72)-Liab!D74=0,"",Liab!E61+Liab!E63+SUM(Liab!E67:E72)+Liab!E74-Liab!D61-Liab!D63-SUM(Liab!D67:D72)-Liab!D74))</f>
        <v>2</v>
      </c>
      <c r="E36" s="327">
        <f>IF(ISERROR(Liab!F61+Liab!F63+SUM(Liab!F67:F72)+Liab!F74-Liab!E61-Liab!E63-SUM(Liab!E67:E72)-Liab!E74),"",IF(Liab!F61+Liab!F63+SUM(Liab!F67:F72)+Liab!F74-Liab!E61-Liab!E63-SUM(Liab!E67:E72)-Liab!E74=0,"",Liab!F61+Liab!F63+SUM(Liab!F67:F72)+Liab!F74-Liab!E61-Liab!E63-SUM(Liab!E67:E72)-Liab!E74))</f>
        <v>-1.08</v>
      </c>
      <c r="F36" s="327">
        <f>IF(ISERROR(Liab!G61+Liab!G63+SUM(Liab!G67:G72)+Liab!G74-Liab!F61-Liab!F63-SUM(Liab!F67:F72)-Liab!F74),"",IF(Liab!G61+Liab!G63+SUM(Liab!G67:G72)+Liab!G74-Liab!F61-Liab!F63-SUM(Liab!F67:F72)-Liab!F74=0,"",Liab!G61+Liab!G63+SUM(Liab!G67:G72)+Liab!G74-Liab!F61-Liab!F63-SUM(Liab!F67:F72)-Liab!F74))</f>
        <v>-0.88</v>
      </c>
      <c r="G36" s="327">
        <f>IF(ISERROR(Liab!H61+Liab!H63+SUM(Liab!H67:H72)+Liab!H74-Liab!G61-Liab!G63-SUM(Liab!G67:G72)-Liab!G74),"",IF(Liab!H61+Liab!H63+SUM(Liab!H67:H72)+Liab!H74-Liab!G61-Liab!G63-SUM(Liab!G67:G72)-Liab!G74=0,"",Liab!H61+Liab!H63+SUM(Liab!H67:H72)+Liab!H74-Liab!G61-Liab!G63-SUM(Liab!G67:G72)-Liab!G74))</f>
        <v>-0.02</v>
      </c>
      <c r="H36" s="327">
        <f>IF(ISERROR(Liab!I61+Liab!I63+SUM(Liab!I67:I72)+Liab!I74-Liab!H61-Liab!H63-SUM(Liab!H67:H72)-Liab!H74),"",IF(Liab!I61+Liab!I63+SUM(Liab!I67:I72)+Liab!I74-Liab!H61-Liab!H63-SUM(Liab!H67:H72)-Liab!H74=0,"",Liab!I61+Liab!I63+SUM(Liab!I67:I72)+Liab!I74-Liab!H61-Liab!H63-SUM(Liab!H67:H72)-Liab!H74))</f>
        <v>-0.02</v>
      </c>
      <c r="I36" s="327" t="str">
        <f>IF(ISERROR(Liab!J61+Liab!J63+SUM(Liab!J67:J72)+Liab!J74-Liab!I61-Liab!I63-SUM(Liab!I67:I72)-Liab!I74),"",IF(Liab!J61+Liab!J63+SUM(Liab!J67:J72)+Liab!J74-Liab!I61-Liab!I63-SUM(Liab!I67:I72)-Liab!I74=0,"",Liab!J61+Liab!J63+SUM(Liab!J67:J72)+Liab!J74-Liab!I61-Liab!I63-SUM(Liab!I67:I72)-Liab!I74))</f>
        <v/>
      </c>
      <c r="J36" s="327" t="str">
        <f>IF(ISERROR(Liab!K61+Liab!K63+SUM(Liab!K67:K72)+Liab!K74-Liab!J61-Liab!J63-SUM(Liab!J67:J72)-Liab!J74),"",IF(Liab!K61+Liab!K63+SUM(Liab!K67:K72)+Liab!K74-Liab!J61-Liab!J63-SUM(Liab!J67:J72)-Liab!J74=0,"",Liab!K61+Liab!K63+SUM(Liab!K67:K72)+Liab!K74-Liab!J61-Liab!J63-SUM(Liab!J67:J72)-Liab!J74))</f>
        <v/>
      </c>
      <c r="K36" s="327" t="str">
        <f>IF(ISERROR(Liab!L61+Liab!L63+SUM(Liab!L67:L72)+Liab!L74-Liab!K61-Liab!K63-SUM(Liab!K67:K72)-Liab!K74),"",IF(Liab!L61+Liab!L63+SUM(Liab!L67:L72)+Liab!L74-Liab!K61-Liab!K63-SUM(Liab!K67:K72)-Liab!K74=0,"",Liab!L61+Liab!L63+SUM(Liab!L67:L72)+Liab!L74-Liab!K61-Liab!K63-SUM(Liab!K67:K72)-Liab!K74))</f>
        <v/>
      </c>
      <c r="L36" s="327" t="str">
        <f>IF(ISERROR(Liab!M61+Liab!M63+SUM(Liab!M67:M72)+Liab!M74-Liab!L61-Liab!L63-SUM(Liab!L67:L72)-Liab!L74),"",IF(Liab!M61+Liab!M63+SUM(Liab!M67:M72)+Liab!M74-Liab!L61-Liab!L63-SUM(Liab!L67:L72)-Liab!L74=0,"",Liab!M61+Liab!M63+SUM(Liab!M67:M72)+Liab!M74-Liab!L61-Liab!L63-SUM(Liab!L67:L72)-Liab!L74))</f>
        <v/>
      </c>
      <c r="M36" s="327" t="str">
        <f>IF(ISERROR(Liab!N61+Liab!N63+SUM(Liab!N67:N72)+Liab!N74-Liab!M61-Liab!M63-SUM(Liab!M67:M72)-Liab!M74),"",IF(Liab!N61+Liab!N63+SUM(Liab!N67:N72)+Liab!N74-Liab!M61-Liab!M63-SUM(Liab!M67:M72)-Liab!M74=0,"",Liab!N61+Liab!N63+SUM(Liab!N67:N72)+Liab!N74-Liab!M61-Liab!M63-SUM(Liab!M67:M72)-Liab!M74))</f>
        <v/>
      </c>
      <c r="N36" s="327" t="str">
        <f>IF(ISERROR(Liab!O61+Liab!O63+SUM(Liab!O67:O72)+Liab!O74-Liab!N61-Liab!N63-SUM(Liab!N67:N72)-Liab!N74),"",IF(Liab!O61+Liab!O63+SUM(Liab!O67:O72)+Liab!O74-Liab!N61-Liab!N63-SUM(Liab!N67:N72)-Liab!N74=0,"",Liab!O61+Liab!O63+SUM(Liab!O67:O72)+Liab!O74-Liab!N61-Liab!N63-SUM(Liab!N67:N72)-Liab!N74))</f>
        <v/>
      </c>
      <c r="O36" s="327" t="str">
        <f>IF(ISERROR(Liab!P61+Liab!P63+SUM(Liab!P67:P72)+Liab!P74-Liab!O61-Liab!O63-SUM(Liab!O67:O72)-Liab!O74),"",IF(Liab!P61+Liab!P63+SUM(Liab!P67:P72)+Liab!P74-Liab!O61-Liab!O63-SUM(Liab!O67:O72)-Liab!O74=0,"",Liab!P61+Liab!P63+SUM(Liab!P67:P72)+Liab!P74-Liab!O61-Liab!O63-SUM(Liab!O67:O72)-Liab!O74))</f>
        <v/>
      </c>
      <c r="P36" s="327" t="str">
        <f>IF(ISERROR(Liab!Q61+Liab!Q63+SUM(Liab!Q67:Q72)+Liab!Q74-Liab!P61-Liab!P63-SUM(Liab!P67:P72)-Liab!P74),"",IF(Liab!Q61+Liab!Q63+SUM(Liab!Q67:Q72)+Liab!Q74-Liab!P61-Liab!P63-SUM(Liab!P67:P72)-Liab!P74=0,"",Liab!Q61+Liab!Q63+SUM(Liab!Q67:Q72)+Liab!Q74-Liab!P61-Liab!P63-SUM(Liab!P67:P72)-Liab!P74))</f>
        <v/>
      </c>
      <c r="Q36" s="327" t="str">
        <f>IF(ISERROR(Liab!R61+Liab!R63+SUM(Liab!R67:R72)+Liab!R74-Liab!Q61-Liab!Q63-SUM(Liab!Q67:Q72)-Liab!Q74),"",IF(Liab!R61+Liab!R63+SUM(Liab!R67:R72)+Liab!R74-Liab!Q61-Liab!Q63-SUM(Liab!Q67:Q72)-Liab!Q74=0,"",Liab!R61+Liab!R63+SUM(Liab!R67:R72)+Liab!R74-Liab!Q61-Liab!Q63-SUM(Liab!Q67:Q72)-Liab!Q74))</f>
        <v/>
      </c>
      <c r="R36" s="327" t="str">
        <f>IF(ISERROR(Liab!S61+Liab!S63+SUM(Liab!S67:S72)+Liab!S74-Liab!R61-Liab!R63-SUM(Liab!R67:R72)-Liab!R74),"",IF(Liab!S61+Liab!S63+SUM(Liab!S67:S72)+Liab!S74-Liab!R61-Liab!R63-SUM(Liab!R67:R72)-Liab!R74=0,"",Liab!S61+Liab!S63+SUM(Liab!S67:S72)+Liab!S74-Liab!R61-Liab!R63-SUM(Liab!R67:R72)-Liab!R74))</f>
        <v/>
      </c>
      <c r="S36" s="327" t="str">
        <f>IF(ISERROR(Liab!T61+Liab!T63+SUM(Liab!T67:T72)+Liab!T74-Liab!S61-Liab!S63-SUM(Liab!S67:S72)-Liab!S74),"",IF(Liab!T61+Liab!T63+SUM(Liab!T67:T72)+Liab!T74-Liab!S61-Liab!S63-SUM(Liab!S67:S72)-Liab!S74=0,"",Liab!T61+Liab!T63+SUM(Liab!T67:T72)+Liab!T74-Liab!S61-Liab!S63-SUM(Liab!S67:S72)-Liab!S74))</f>
        <v/>
      </c>
      <c r="T36" s="327" t="str">
        <f>IF(ISERROR(Liab!U61+Liab!U63+SUM(Liab!U67:U72)+Liab!U74-Liab!T61-Liab!T63-SUM(Liab!T67:T72)-Liab!T74),"",IF(Liab!U61+Liab!U63+SUM(Liab!U67:U72)+Liab!U74-Liab!T61-Liab!T63-SUM(Liab!T67:T72)-Liab!T74=0,"",Liab!U61+Liab!U63+SUM(Liab!U67:U72)+Liab!U74-Liab!T61-Liab!T63-SUM(Liab!T67:T72)-Liab!T74))</f>
        <v/>
      </c>
      <c r="U36" s="327" t="str">
        <f>IF(ISERROR(Liab!V61+Liab!V63+SUM(Liab!V67:V72)+Liab!V74-Liab!U61-Liab!U63-SUM(Liab!U67:U72)-Liab!U74),"",IF(Liab!V61+Liab!V63+SUM(Liab!V67:V72)+Liab!V74-Liab!U61-Liab!U63-SUM(Liab!U67:U72)-Liab!U74=0,"",Liab!V61+Liab!V63+SUM(Liab!V67:V72)+Liab!V74-Liab!U61-Liab!U63-SUM(Liab!U67:U72)-Liab!U74))</f>
        <v/>
      </c>
      <c r="V36" s="665"/>
    </row>
    <row r="37" spans="1:22" x14ac:dyDescent="0.2">
      <c r="A37" s="331" t="s">
        <v>756</v>
      </c>
      <c r="B37" s="334">
        <v>0</v>
      </c>
      <c r="C37" s="327">
        <f>IF(ISERROR(Liab!D76-Liab!C76),"",IF(Liab!D76-Liab!C76=0,"",Liab!D76-Liab!C76))</f>
        <v>7.9999999999999988E-2</v>
      </c>
      <c r="D37" s="327">
        <f>IF(ISERROR(Liab!E76-Liab!D76),"",IF(Liab!E76-Liab!D76=0,"",Liab!E76-Liab!D76))</f>
        <v>1.04</v>
      </c>
      <c r="E37" s="327">
        <f>IF(ISERROR(Liab!F76-Liab!E76),"",IF(Liab!F76-Liab!E76=0,"",Liab!F76-Liab!E76))</f>
        <v>-1.1599999999999999</v>
      </c>
      <c r="F37" s="327" t="str">
        <f>IF(ISERROR(Liab!G76-Liab!F76),"",IF(Liab!G76-Liab!F76=0,"",Liab!G76-Liab!F76))</f>
        <v/>
      </c>
      <c r="G37" s="327" t="str">
        <f>IF(ISERROR(Liab!H76-Liab!G76),"",IF(Liab!H76-Liab!G76=0,"",Liab!H76-Liab!G76))</f>
        <v/>
      </c>
      <c r="H37" s="327" t="str">
        <f>IF(ISERROR(Liab!I76-Liab!H76),"",IF(Liab!I76-Liab!H76=0,"",Liab!I76-Liab!H76))</f>
        <v/>
      </c>
      <c r="I37" s="327" t="str">
        <f>IF(ISERROR(Liab!J76-Liab!I76),"",IF(Liab!J76-Liab!I76=0,"",Liab!J76-Liab!I76))</f>
        <v/>
      </c>
      <c r="J37" s="327" t="str">
        <f>IF(ISERROR(Liab!K76-Liab!J76),"",IF(Liab!K76-Liab!J76=0,"",Liab!K76-Liab!J76))</f>
        <v/>
      </c>
      <c r="K37" s="327" t="str">
        <f>IF(ISERROR(Liab!L76-Liab!K76),"",IF(Liab!L76-Liab!K76=0,"",Liab!L76-Liab!K76))</f>
        <v/>
      </c>
      <c r="L37" s="327" t="str">
        <f>IF(ISERROR(Liab!M76-Liab!L76),"",IF(Liab!M76-Liab!L76=0,"",Liab!M76-Liab!L76))</f>
        <v/>
      </c>
      <c r="M37" s="327" t="str">
        <f>IF(ISERROR(Liab!N76-Liab!M76),"",IF(Liab!N76-Liab!M76=0,"",Liab!N76-Liab!M76))</f>
        <v/>
      </c>
      <c r="N37" s="327" t="str">
        <f>IF(ISERROR(Liab!O76-Liab!N76),"",IF(Liab!O76-Liab!N76=0,"",Liab!O76-Liab!N76))</f>
        <v/>
      </c>
      <c r="O37" s="327" t="str">
        <f>IF(ISERROR(Liab!P76-Liab!O76),"",IF(Liab!P76-Liab!O76=0,"",Liab!P76-Liab!O76))</f>
        <v/>
      </c>
      <c r="P37" s="327" t="str">
        <f>IF(ISERROR(Liab!Q76-Liab!P76),"",IF(Liab!Q76-Liab!P76=0,"",Liab!Q76-Liab!P76))</f>
        <v/>
      </c>
      <c r="Q37" s="327" t="str">
        <f>IF(ISERROR(Liab!R76-Liab!Q76),"",IF(Liab!R76-Liab!Q76=0,"",Liab!R76-Liab!Q76))</f>
        <v/>
      </c>
      <c r="R37" s="327" t="str">
        <f>IF(ISERROR(Liab!S76-Liab!R76),"",IF(Liab!S76-Liab!R76=0,"",Liab!S76-Liab!R76))</f>
        <v/>
      </c>
      <c r="S37" s="327" t="str">
        <f>IF(ISERROR(Liab!T76-Liab!S76),"",IF(Liab!T76-Liab!S76=0,"",Liab!T76-Liab!S76))</f>
        <v/>
      </c>
      <c r="T37" s="327" t="str">
        <f>IF(ISERROR(Liab!U76-Liab!T76),"",IF(Liab!U76-Liab!T76=0,"",Liab!U76-Liab!T76))</f>
        <v/>
      </c>
      <c r="U37" s="327" t="str">
        <f>IF(ISERROR(Liab!V76-Liab!U76),"",IF(Liab!V76-Liab!U76=0,"",Liab!V76-Liab!U76))</f>
        <v/>
      </c>
      <c r="V37" s="665"/>
    </row>
    <row r="38" spans="1:22" x14ac:dyDescent="0.2">
      <c r="A38" s="331" t="s">
        <v>757</v>
      </c>
      <c r="B38" s="334">
        <v>0</v>
      </c>
      <c r="C38" s="327" t="str">
        <f>IF(ISERROR(Liab!D20-Liab!C20),"",IF(Liab!D20-Liab!C20=0,"",Liab!D20-Liab!C20))</f>
        <v/>
      </c>
      <c r="D38" s="327" t="str">
        <f>IF(ISERROR(Liab!E20-Liab!D20),"",IF(Liab!E20-Liab!D20=0,"",Liab!E20-Liab!D20))</f>
        <v/>
      </c>
      <c r="E38" s="327" t="str">
        <f>IF(ISERROR(Liab!F20-Liab!E20),"",IF(Liab!F20-Liab!E20=0,"",Liab!F20-Liab!E20))</f>
        <v/>
      </c>
      <c r="F38" s="327">
        <f>IF(ISERROR(Liab!G20-Liab!F20),"",IF(Liab!G20-Liab!F20=0,"",Liab!G20-Liab!F20))</f>
        <v>2</v>
      </c>
      <c r="G38" s="327" t="str">
        <f>IF(ISERROR(Liab!H20-Liab!G20),"",IF(Liab!H20-Liab!G20=0,"",Liab!H20-Liab!G20))</f>
        <v/>
      </c>
      <c r="H38" s="327" t="str">
        <f>IF(ISERROR(Liab!I20-Liab!H20),"",IF(Liab!I20-Liab!H20=0,"",Liab!I20-Liab!H20))</f>
        <v/>
      </c>
      <c r="I38" s="327" t="str">
        <f>IF(ISERROR(Liab!J20-Liab!I20),"",IF(Liab!J20-Liab!I20=0,"",Liab!J20-Liab!I20))</f>
        <v/>
      </c>
      <c r="J38" s="327" t="str">
        <f>IF(ISERROR(Liab!K20-Liab!J20),"",IF(Liab!K20-Liab!J20=0,"",Liab!K20-Liab!J20))</f>
        <v/>
      </c>
      <c r="K38" s="327" t="str">
        <f>IF(ISERROR(Liab!L20-Liab!K20),"",IF(Liab!L20-Liab!K20=0,"",Liab!L20-Liab!K20))</f>
        <v/>
      </c>
      <c r="L38" s="327" t="str">
        <f>IF(ISERROR(Liab!M20-Liab!L20),"",IF(Liab!M20-Liab!L20=0,"",Liab!M20-Liab!L20))</f>
        <v/>
      </c>
      <c r="M38" s="327">
        <f>IF(ISERROR(Liab!N20-Liab!M20),"",IF(Liab!N20-Liab!M20=0,"",Liab!N20-Liab!M20))</f>
        <v>-2</v>
      </c>
      <c r="N38" s="327" t="str">
        <f>IF(ISERROR(Liab!O20-Liab!N20),"",IF(Liab!O20-Liab!N20=0,"",Liab!O20-Liab!N20))</f>
        <v/>
      </c>
      <c r="O38" s="327" t="str">
        <f>IF(ISERROR(Liab!P20-Liab!O20),"",IF(Liab!P20-Liab!O20=0,"",Liab!P20-Liab!O20))</f>
        <v/>
      </c>
      <c r="P38" s="327" t="str">
        <f>IF(ISERROR(Liab!Q20-Liab!P20),"",IF(Liab!Q20-Liab!P20=0,"",Liab!Q20-Liab!P20))</f>
        <v/>
      </c>
      <c r="Q38" s="327" t="str">
        <f>IF(ISERROR(Liab!R20-Liab!Q20),"",IF(Liab!R20-Liab!Q20=0,"",Liab!R20-Liab!Q20))</f>
        <v/>
      </c>
      <c r="R38" s="327" t="str">
        <f>IF(ISERROR(Liab!S20-Liab!R20),"",IF(Liab!S20-Liab!R20=0,"",Liab!S20-Liab!R20))</f>
        <v/>
      </c>
      <c r="S38" s="327" t="str">
        <f>IF(ISERROR(Liab!T20-Liab!S20),"",IF(Liab!T20-Liab!S20=0,"",Liab!T20-Liab!S20))</f>
        <v/>
      </c>
      <c r="T38" s="327" t="str">
        <f>IF(ISERROR(Liab!U20-Liab!T20),"",IF(Liab!U20-Liab!T20=0,"",Liab!U20-Liab!T20))</f>
        <v/>
      </c>
      <c r="U38" s="327" t="str">
        <f>IF(ISERROR(Liab!V20-Liab!U20),"",IF(Liab!V20-Liab!U20=0,"",Liab!V20-Liab!U20))</f>
        <v/>
      </c>
      <c r="V38" s="665"/>
    </row>
    <row r="39" spans="1:22" ht="25.5" x14ac:dyDescent="0.2">
      <c r="A39" s="336" t="s">
        <v>775</v>
      </c>
      <c r="B39" s="334">
        <v>0</v>
      </c>
      <c r="C39" s="327" t="str">
        <f>IF(ISERROR(Liab!D84+Liab!D88+SUM(Liab!D90:D95)+SUM(Liab!D97:D98)-Liab!C84-Liab!C88-SUM(Liab!C90:C95)-SUM(Liab!C97:C98)),"",IF(Liab!D84+Liab!D88+SUM(Liab!D90:D95)+SUM(Liab!D97:D98)-Liab!C84-Liab!C88-SUM(Liab!C90:C95)-SUM(Liab!C97:C98)=0,"",Liab!D84+Liab!D88+SUM(Liab!D90:D95)+SUM(Liab!D97:D98)-Liab!C84-Liab!C88-SUM(Liab!C90:C95)-SUM(Liab!C97:C98)))</f>
        <v/>
      </c>
      <c r="D39" s="327" t="str">
        <f>IF(ISERROR(Liab!E84+Liab!E88+SUM(Liab!E90:E95)+SUM(Liab!E97:E98)-Liab!D84-Liab!D88-SUM(Liab!D90:D95)-SUM(Liab!D97:D98)),"",IF(Liab!E84+Liab!E88+SUM(Liab!E90:E95)+SUM(Liab!E97:E98)-Liab!D84-Liab!D88-SUM(Liab!D90:D95)-SUM(Liab!D97:D98)=0,"",Liab!E84+Liab!E88+SUM(Liab!E90:E95)+SUM(Liab!E97:E98)-Liab!D84-Liab!D88-SUM(Liab!D90:D95)-SUM(Liab!D97:D98)))</f>
        <v/>
      </c>
      <c r="E39" s="327">
        <f>IF(ISERROR(Liab!F84+Liab!F88+SUM(Liab!F90:F95)+SUM(Liab!F97:F98)-Liab!E84-Liab!E88-SUM(Liab!E90:E95)-SUM(Liab!E97:E98)),"",IF(Liab!F84+Liab!F88+SUM(Liab!F90:F95)+SUM(Liab!F97:F98)-Liab!E84-Liab!E88-SUM(Liab!E90:E95)-SUM(Liab!E97:E98)=0,"",Liab!F84+Liab!F88+SUM(Liab!F90:F95)+SUM(Liab!F97:F98)-Liab!E84-Liab!E88-SUM(Liab!E90:E95)-SUM(Liab!E97:E98)))</f>
        <v>7.99</v>
      </c>
      <c r="F39" s="327">
        <f>IF(ISERROR(Liab!G84+Liab!G88+SUM(Liab!G90:G95)+SUM(Liab!G97:G98)-Liab!F84-Liab!F88-SUM(Liab!F90:F95)-SUM(Liab!F97:F98)),"",IF(Liab!G84+Liab!G88+SUM(Liab!G90:G95)+SUM(Liab!G97:G98)-Liab!F84-Liab!F88-SUM(Liab!F90:F95)-SUM(Liab!F97:F98)=0,"",Liab!G84+Liab!G88+SUM(Liab!G90:G95)+SUM(Liab!G97:G98)-Liab!F84-Liab!F88-SUM(Liab!F90:F95)-SUM(Liab!F97:F98)))</f>
        <v>2.1199999999999992</v>
      </c>
      <c r="G39" s="327" t="str">
        <f>IF(ISERROR(Liab!H84+Liab!H88+SUM(Liab!H90:H95)+SUM(Liab!H97:H98)-Liab!G84-Liab!G88-SUM(Liab!G90:G95)-SUM(Liab!G97:G98)),"",IF(Liab!H84+Liab!H88+SUM(Liab!H90:H95)+SUM(Liab!H97:H98)-Liab!G84-Liab!G88-SUM(Liab!G90:G95)-SUM(Liab!G97:G98)=0,"",Liab!H84+Liab!H88+SUM(Liab!H90:H95)+SUM(Liab!H97:H98)-Liab!G84-Liab!G88-SUM(Liab!G90:G95)-SUM(Liab!G97:G98)))</f>
        <v/>
      </c>
      <c r="H39" s="327" t="str">
        <f>IF(ISERROR(Liab!I84+Liab!I88+SUM(Liab!I90:I95)+SUM(Liab!I97:I98)-Liab!H84-Liab!H88-SUM(Liab!H90:H95)-SUM(Liab!H97:H98)),"",IF(Liab!I84+Liab!I88+SUM(Liab!I90:I95)+SUM(Liab!I97:I98)-Liab!H84-Liab!H88-SUM(Liab!H90:H95)-SUM(Liab!H97:H98)=0,"",Liab!I84+Liab!I88+SUM(Liab!I90:I95)+SUM(Liab!I97:I98)-Liab!H84-Liab!H88-SUM(Liab!H90:H95)-SUM(Liab!H97:H98)))</f>
        <v/>
      </c>
      <c r="I39" s="327" t="str">
        <f>IF(ISERROR(Liab!J84+Liab!J88+SUM(Liab!J90:J95)+SUM(Liab!J97:J98)-Liab!I84-Liab!I88-SUM(Liab!I90:I95)-SUM(Liab!I97:I98)),"",IF(Liab!J84+Liab!J88+SUM(Liab!J90:J95)+SUM(Liab!J97:J98)-Liab!I84-Liab!I88-SUM(Liab!I90:I95)-SUM(Liab!I97:I98)=0,"",Liab!J84+Liab!J88+SUM(Liab!J90:J95)+SUM(Liab!J97:J98)-Liab!I84-Liab!I88-SUM(Liab!I90:I95)-SUM(Liab!I97:I98)))</f>
        <v/>
      </c>
      <c r="J39" s="327" t="str">
        <f>IF(ISERROR(Liab!K84+Liab!K88+SUM(Liab!K90:K95)+SUM(Liab!K97:K98)-Liab!J84-Liab!J88-SUM(Liab!J90:J95)-SUM(Liab!J97:J98)),"",IF(Liab!K84+Liab!K88+SUM(Liab!K90:K95)+SUM(Liab!K97:K98)-Liab!J84-Liab!J88-SUM(Liab!J90:J95)-SUM(Liab!J97:J98)=0,"",Liab!K84+Liab!K88+SUM(Liab!K90:K95)+SUM(Liab!K97:K98)-Liab!J84-Liab!J88-SUM(Liab!J90:J95)-SUM(Liab!J97:J98)))</f>
        <v/>
      </c>
      <c r="K39" s="327" t="str">
        <f>IF(ISERROR(Liab!L84+Liab!L88+SUM(Liab!L90:L95)+SUM(Liab!L97:L98)-Liab!K84-Liab!K88-SUM(Liab!K90:K95)-SUM(Liab!K97:K98)),"",IF(Liab!L84+Liab!L88+SUM(Liab!L90:L95)+SUM(Liab!L97:L98)-Liab!K84-Liab!K88-SUM(Liab!K90:K95)-SUM(Liab!K97:K98)=0,"",Liab!L84+Liab!L88+SUM(Liab!L90:L95)+SUM(Liab!L97:L98)-Liab!K84-Liab!K88-SUM(Liab!K90:K95)-SUM(Liab!K97:K98)))</f>
        <v/>
      </c>
      <c r="L39" s="327" t="str">
        <f>IF(ISERROR(Liab!M84+Liab!M88+SUM(Liab!M90:M95)+SUM(Liab!M97:M98)-Liab!L84-Liab!L88-SUM(Liab!L90:L95)-SUM(Liab!L97:L98)),"",IF(Liab!M84+Liab!M88+SUM(Liab!M90:M95)+SUM(Liab!M97:M98)-Liab!L84-Liab!L88-SUM(Liab!L90:L95)-SUM(Liab!L97:L98)=0,"",Liab!M84+Liab!M88+SUM(Liab!M90:M95)+SUM(Liab!M97:M98)-Liab!L84-Liab!L88-SUM(Liab!L90:L95)-SUM(Liab!L97:L98)))</f>
        <v/>
      </c>
      <c r="M39" s="327">
        <f>IF(ISERROR(Liab!N84+Liab!N88+SUM(Liab!N90:N95)+SUM(Liab!N97:N98)-Liab!M84-Liab!M88-SUM(Liab!M90:M95)-SUM(Liab!M97:M98)),"",IF(Liab!N84+Liab!N88+SUM(Liab!N90:N95)+SUM(Liab!N97:N98)-Liab!M84-Liab!M88-SUM(Liab!M90:M95)-SUM(Liab!M97:M98)=0,"",Liab!N84+Liab!N88+SUM(Liab!N90:N95)+SUM(Liab!N97:N98)-Liab!M84-Liab!M88-SUM(Liab!M90:M95)-SUM(Liab!M97:M98)))</f>
        <v>-10.119999999999999</v>
      </c>
      <c r="N39" s="327" t="str">
        <f>IF(ISERROR(Liab!O84+Liab!O88+SUM(Liab!O90:O95)+SUM(Liab!O97:O98)-Liab!N84-Liab!N88-SUM(Liab!N90:N95)-SUM(Liab!N97:N98)),"",IF(Liab!O84+Liab!O88+SUM(Liab!O90:O95)+SUM(Liab!O97:O98)-Liab!N84-Liab!N88-SUM(Liab!N90:N95)-SUM(Liab!N97:N98)=0,"",Liab!O84+Liab!O88+SUM(Liab!O90:O95)+SUM(Liab!O97:O98)-Liab!N84-Liab!N88-SUM(Liab!N90:N95)-SUM(Liab!N97:N98)))</f>
        <v/>
      </c>
      <c r="O39" s="327" t="str">
        <f>IF(ISERROR(Liab!P84+Liab!P88+SUM(Liab!P90:P95)+SUM(Liab!P97:P98)-Liab!O84-Liab!O88-SUM(Liab!O90:O95)-SUM(Liab!O97:O98)),"",IF(Liab!P84+Liab!P88+SUM(Liab!P90:P95)+SUM(Liab!P97:P98)-Liab!O84-Liab!O88-SUM(Liab!O90:O95)-SUM(Liab!O97:O98)=0,"",Liab!P84+Liab!P88+SUM(Liab!P90:P95)+SUM(Liab!P97:P98)-Liab!O84-Liab!O88-SUM(Liab!O90:O95)-SUM(Liab!O97:O98)))</f>
        <v/>
      </c>
      <c r="P39" s="327" t="str">
        <f>IF(ISERROR(Liab!Q84+Liab!Q88+SUM(Liab!Q90:Q95)+SUM(Liab!Q97:Q98)-Liab!P84-Liab!P88-SUM(Liab!P90:P95)-SUM(Liab!P97:P98)),"",IF(Liab!Q84+Liab!Q88+SUM(Liab!Q90:Q95)+SUM(Liab!Q97:Q98)-Liab!P84-Liab!P88-SUM(Liab!P90:P95)-SUM(Liab!P97:P98)=0,"",Liab!Q84+Liab!Q88+SUM(Liab!Q90:Q95)+SUM(Liab!Q97:Q98)-Liab!P84-Liab!P88-SUM(Liab!P90:P95)-SUM(Liab!P97:P98)))</f>
        <v/>
      </c>
      <c r="Q39" s="327" t="str">
        <f>IF(ISERROR(Liab!R84+Liab!R88+SUM(Liab!R90:R95)+SUM(Liab!R97:R98)-Liab!Q84-Liab!Q88-SUM(Liab!Q90:Q95)-SUM(Liab!Q97:Q98)),"",IF(Liab!R84+Liab!R88+SUM(Liab!R90:R95)+SUM(Liab!R97:R98)-Liab!Q84-Liab!Q88-SUM(Liab!Q90:Q95)-SUM(Liab!Q97:Q98)=0,"",Liab!R84+Liab!R88+SUM(Liab!R90:R95)+SUM(Liab!R97:R98)-Liab!Q84-Liab!Q88-SUM(Liab!Q90:Q95)-SUM(Liab!Q97:Q98)))</f>
        <v/>
      </c>
      <c r="R39" s="327" t="str">
        <f>IF(ISERROR(Liab!S84+Liab!S88+SUM(Liab!S90:S95)+SUM(Liab!S97:S98)-Liab!R84-Liab!R88-SUM(Liab!R90:R95)-SUM(Liab!R97:R98)),"",IF(Liab!S84+Liab!S88+SUM(Liab!S90:S95)+SUM(Liab!S97:S98)-Liab!R84-Liab!R88-SUM(Liab!R90:R95)-SUM(Liab!R97:R98)=0,"",Liab!S84+Liab!S88+SUM(Liab!S90:S95)+SUM(Liab!S97:S98)-Liab!R84-Liab!R88-SUM(Liab!R90:R95)-SUM(Liab!R97:R98)))</f>
        <v/>
      </c>
      <c r="S39" s="327" t="str">
        <f>IF(ISERROR(Liab!T84+Liab!T88+SUM(Liab!T90:T95)+SUM(Liab!T97:T98)-Liab!S84-Liab!S88-SUM(Liab!S90:S95)-SUM(Liab!S97:S98)),"",IF(Liab!T84+Liab!T88+SUM(Liab!T90:T95)+SUM(Liab!T97:T98)-Liab!S84-Liab!S88-SUM(Liab!S90:S95)-SUM(Liab!S97:S98)=0,"",Liab!T84+Liab!T88+SUM(Liab!T90:T95)+SUM(Liab!T97:T98)-Liab!S84-Liab!S88-SUM(Liab!S90:S95)-SUM(Liab!S97:S98)))</f>
        <v/>
      </c>
      <c r="T39" s="327" t="str">
        <f>IF(ISERROR(Liab!U84+Liab!U88+SUM(Liab!U90:U95)+SUM(Liab!U97:U98)-Liab!T84-Liab!T88-SUM(Liab!T90:T95)-SUM(Liab!T97:T98)),"",IF(Liab!U84+Liab!U88+SUM(Liab!U90:U95)+SUM(Liab!U97:U98)-Liab!T84-Liab!T88-SUM(Liab!T90:T95)-SUM(Liab!T97:T98)=0,"",Liab!U84+Liab!U88+SUM(Liab!U90:U95)+SUM(Liab!U97:U98)-Liab!T84-Liab!T88-SUM(Liab!T90:T95)-SUM(Liab!T97:T98)))</f>
        <v/>
      </c>
      <c r="U39" s="327" t="str">
        <f>IF(ISERROR(Liab!V84+Liab!V88+SUM(Liab!V90:V95)+SUM(Liab!V97:V98)-Liab!U84-Liab!U88-SUM(Liab!U90:U95)-SUM(Liab!U97:U98)),"",IF(Liab!V84+Liab!V88+SUM(Liab!V90:V95)+SUM(Liab!V97:V98)-Liab!U84-Liab!U88-SUM(Liab!U90:U95)-SUM(Liab!U97:U98)=0,"",Liab!V84+Liab!V88+SUM(Liab!V90:V95)+SUM(Liab!V97:V98)-Liab!U84-Liab!U88-SUM(Liab!U90:U95)-SUM(Liab!U97:U98)))</f>
        <v/>
      </c>
      <c r="V39" s="665"/>
    </row>
    <row r="40" spans="1:22" x14ac:dyDescent="0.2">
      <c r="A40" s="329" t="s">
        <v>452</v>
      </c>
      <c r="B40" s="327"/>
      <c r="C40" s="327"/>
      <c r="D40" s="327"/>
      <c r="E40" s="327"/>
      <c r="F40" s="327"/>
      <c r="G40" s="327"/>
      <c r="H40" s="327"/>
      <c r="I40" s="327"/>
      <c r="J40" s="327"/>
      <c r="K40" s="327"/>
      <c r="L40" s="327"/>
      <c r="M40" s="327"/>
      <c r="N40" s="327"/>
      <c r="O40" s="327"/>
      <c r="P40" s="327"/>
      <c r="Q40" s="327"/>
      <c r="R40" s="327"/>
      <c r="S40" s="327"/>
      <c r="T40" s="327"/>
      <c r="U40" s="327"/>
      <c r="V40" s="665"/>
    </row>
    <row r="41" spans="1:22" x14ac:dyDescent="0.2">
      <c r="A41" s="331" t="s">
        <v>601</v>
      </c>
      <c r="B41" s="327" t="str">
        <f>IF(ISERROR('Oper.St.'!C100),"",IF('Oper.St.'!C100=0,"",'Oper.St.'!C100))</f>
        <v/>
      </c>
      <c r="C41" s="327" t="str">
        <f>IF(ISERROR('Oper.St.'!D100),"",IF('Oper.St.'!D100=0,"",'Oper.St.'!D100))</f>
        <v/>
      </c>
      <c r="D41" s="327" t="str">
        <f>IF(ISERROR('Oper.St.'!E100),"",IF('Oper.St.'!E100=0,"",'Oper.St.'!E100))</f>
        <v/>
      </c>
      <c r="E41" s="327" t="str">
        <f>IF(ISERROR('Oper.St.'!F100),"",IF('Oper.St.'!F100=0,"",'Oper.St.'!F100))</f>
        <v/>
      </c>
      <c r="F41" s="327" t="str">
        <f>IF(ISERROR('Oper.St.'!G100),"",IF('Oper.St.'!G100=0,"",'Oper.St.'!G100))</f>
        <v/>
      </c>
      <c r="G41" s="327" t="str">
        <f>IF(ISERROR('Oper.St.'!H100),"",IF('Oper.St.'!H100=0,"",'Oper.St.'!H100))</f>
        <v/>
      </c>
      <c r="H41" s="327" t="str">
        <f>IF(ISERROR('Oper.St.'!I100),"",IF('Oper.St.'!I100=0,"",'Oper.St.'!I100))</f>
        <v/>
      </c>
      <c r="I41" s="327" t="str">
        <f>IF(ISERROR('Oper.St.'!J100),"",IF('Oper.St.'!J100=0,"",'Oper.St.'!J100))</f>
        <v/>
      </c>
      <c r="J41" s="327" t="str">
        <f>IF(ISERROR('Oper.St.'!K100),"",IF('Oper.St.'!K100=0,"",'Oper.St.'!K100))</f>
        <v/>
      </c>
      <c r="K41" s="327" t="str">
        <f>IF(ISERROR('Oper.St.'!L100),"",IF('Oper.St.'!L100=0,"",'Oper.St.'!L100))</f>
        <v/>
      </c>
      <c r="L41" s="327" t="str">
        <f>IF(ISERROR('Oper.St.'!M100),"",IF('Oper.St.'!M100=0,"",'Oper.St.'!M100))</f>
        <v/>
      </c>
      <c r="M41" s="327" t="str">
        <f>IF(ISERROR('Oper.St.'!N100),"",IF('Oper.St.'!N100=0,"",'Oper.St.'!N100))</f>
        <v/>
      </c>
      <c r="N41" s="327" t="str">
        <f>IF(ISERROR('Oper.St.'!O100),"",IF('Oper.St.'!O100=0,"",'Oper.St.'!O100))</f>
        <v/>
      </c>
      <c r="O41" s="327" t="str">
        <f>IF(ISERROR('Oper.St.'!P100),"",IF('Oper.St.'!P100=0,"",'Oper.St.'!P100))</f>
        <v/>
      </c>
      <c r="P41" s="327" t="str">
        <f>IF(ISERROR('Oper.St.'!Q100),"",IF('Oper.St.'!Q100=0,"",'Oper.St.'!Q100))</f>
        <v/>
      </c>
      <c r="Q41" s="327" t="str">
        <f>IF(ISERROR('Oper.St.'!R100),"",IF('Oper.St.'!R100=0,"",'Oper.St.'!R100))</f>
        <v/>
      </c>
      <c r="R41" s="327" t="str">
        <f>IF(ISERROR('Oper.St.'!S100),"",IF('Oper.St.'!S100=0,"",'Oper.St.'!S100))</f>
        <v/>
      </c>
      <c r="S41" s="327" t="str">
        <f>IF(ISERROR('Oper.St.'!T100),"",IF('Oper.St.'!T100=0,"",'Oper.St.'!T100))</f>
        <v/>
      </c>
      <c r="T41" s="327" t="str">
        <f>IF(ISERROR('Oper.St.'!U100),"",IF('Oper.St.'!U100=0,"",'Oper.St.'!U100))</f>
        <v/>
      </c>
      <c r="U41" s="327" t="str">
        <f>IF(ISERROR('Oper.St.'!V100),"",IF('Oper.St.'!V100=0,"",'Oper.St.'!V100))</f>
        <v/>
      </c>
      <c r="V41" s="665"/>
    </row>
    <row r="42" spans="1:22" x14ac:dyDescent="0.2">
      <c r="A42" s="330" t="s">
        <v>448</v>
      </c>
      <c r="B42" s="327" t="str">
        <f>IF(ISERROR('Oper.St.'!C73),"",IF('Oper.St.'!C73=0,"",'Oper.St.'!C73))</f>
        <v/>
      </c>
      <c r="C42" s="327" t="str">
        <f>IF(ISERROR('Oper.St.'!D73),"",IF('Oper.St.'!D73=0,"",'Oper.St.'!D73))</f>
        <v/>
      </c>
      <c r="D42" s="327">
        <f>IF(ISERROR('Oper.St.'!E73),"",IF('Oper.St.'!E73=0,"",'Oper.St.'!E73))</f>
        <v>0.05</v>
      </c>
      <c r="E42" s="327">
        <f>IF(ISERROR('Oper.St.'!F73),"",IF('Oper.St.'!F73=0,"",'Oper.St.'!F73))</f>
        <v>0.47</v>
      </c>
      <c r="F42" s="327">
        <f>IF(ISERROR('Oper.St.'!G73),"",IF('Oper.St.'!G73=0,"",'Oper.St.'!G73))</f>
        <v>0.91</v>
      </c>
      <c r="G42" s="327">
        <f>IF(ISERROR('Oper.St.'!H73),"",IF('Oper.St.'!H73=0,"",'Oper.St.'!H73))</f>
        <v>1.1492750000000003</v>
      </c>
      <c r="H42" s="327">
        <f>IF(ISERROR('Oper.St.'!I73),"",IF('Oper.St.'!I73=0,"",'Oper.St.'!I73))</f>
        <v>0.96513000000000082</v>
      </c>
      <c r="I42" s="327">
        <f>IF(ISERROR('Oper.St.'!J73),"",IF('Oper.St.'!J73=0,"",'Oper.St.'!J73))</f>
        <v>0.83753250000000101</v>
      </c>
      <c r="J42" s="327">
        <f>IF(ISERROR('Oper.St.'!K73),"",IF('Oper.St.'!K73=0,"",'Oper.St.'!K73))</f>
        <v>0.681315000000001</v>
      </c>
      <c r="K42" s="327">
        <f>IF(ISERROR('Oper.St.'!L73),"",IF('Oper.St.'!L73=0,"",'Oper.St.'!L73))</f>
        <v>0.50085000000000091</v>
      </c>
      <c r="L42" s="327">
        <f>IF(ISERROR('Oper.St.'!M73),"",IF('Oper.St.'!M73=0,"",'Oper.St.'!M73))</f>
        <v>0.28818750000000093</v>
      </c>
      <c r="M42" s="327" t="str">
        <f>IF(ISERROR('Oper.St.'!N73),"",IF('Oper.St.'!N73=0,"",'Oper.St.'!N73))</f>
        <v/>
      </c>
      <c r="N42" s="327" t="str">
        <f>IF(ISERROR('Oper.St.'!O73),"",IF('Oper.St.'!O73=0,"",'Oper.St.'!O73))</f>
        <v/>
      </c>
      <c r="O42" s="327" t="str">
        <f>IF(ISERROR('Oper.St.'!P73),"",IF('Oper.St.'!P73=0,"",'Oper.St.'!P73))</f>
        <v/>
      </c>
      <c r="P42" s="327" t="str">
        <f>IF(ISERROR('Oper.St.'!Q73),"",IF('Oper.St.'!Q73=0,"",'Oper.St.'!Q73))</f>
        <v/>
      </c>
      <c r="Q42" s="327" t="str">
        <f>IF(ISERROR('Oper.St.'!R73),"",IF('Oper.St.'!R73=0,"",'Oper.St.'!R73))</f>
        <v/>
      </c>
      <c r="R42" s="327" t="str">
        <f>IF(ISERROR('Oper.St.'!S73),"",IF('Oper.St.'!S73=0,"",'Oper.St.'!S73))</f>
        <v/>
      </c>
      <c r="S42" s="327" t="str">
        <f>IF(ISERROR('Oper.St.'!T73),"",IF('Oper.St.'!T73=0,"",'Oper.St.'!T73))</f>
        <v/>
      </c>
      <c r="T42" s="327" t="str">
        <f>IF(ISERROR('Oper.St.'!U73),"",IF('Oper.St.'!U73=0,"",'Oper.St.'!U73))</f>
        <v/>
      </c>
      <c r="U42" s="327" t="str">
        <f>IF(ISERROR('Oper.St.'!V73),"",IF('Oper.St.'!V73=0,"",'Oper.St.'!V73))</f>
        <v/>
      </c>
      <c r="V42" s="665"/>
    </row>
    <row r="43" spans="1:22" s="333" customFormat="1" x14ac:dyDescent="0.2">
      <c r="A43" s="329" t="s">
        <v>512</v>
      </c>
      <c r="B43" s="332">
        <f>SUM(B35:B39)-SUM(B41:B42)</f>
        <v>0</v>
      </c>
      <c r="C43" s="332">
        <f>SUM(C35:C39)-SUM(C41:C42)</f>
        <v>7.9999999999999988E-2</v>
      </c>
      <c r="D43" s="332">
        <f t="shared" ref="D43:U43" si="7">SUM(D35:D39)-SUM(D41:D42)</f>
        <v>3.87</v>
      </c>
      <c r="E43" s="332">
        <f t="shared" si="7"/>
        <v>9.5699999999999985</v>
      </c>
      <c r="F43" s="332">
        <f t="shared" si="7"/>
        <v>10.040000000000001</v>
      </c>
      <c r="G43" s="332">
        <f t="shared" si="7"/>
        <v>-3.2292749999999972</v>
      </c>
      <c r="H43" s="332">
        <f t="shared" si="7"/>
        <v>-2.4251299999999913</v>
      </c>
      <c r="I43" s="332">
        <f t="shared" si="7"/>
        <v>-2.6575325000000047</v>
      </c>
      <c r="J43" s="332">
        <f t="shared" si="7"/>
        <v>-2.8413149999999971</v>
      </c>
      <c r="K43" s="332">
        <f t="shared" si="7"/>
        <v>-2.9008500000000028</v>
      </c>
      <c r="L43" s="332">
        <f t="shared" si="7"/>
        <v>-3.2881875000000118</v>
      </c>
      <c r="M43" s="332">
        <f t="shared" si="7"/>
        <v>-12.12</v>
      </c>
      <c r="N43" s="332">
        <f t="shared" si="7"/>
        <v>0</v>
      </c>
      <c r="O43" s="332">
        <f t="shared" si="7"/>
        <v>0</v>
      </c>
      <c r="P43" s="332">
        <f t="shared" si="7"/>
        <v>0</v>
      </c>
      <c r="Q43" s="332">
        <f t="shared" si="7"/>
        <v>0</v>
      </c>
      <c r="R43" s="332">
        <f t="shared" si="7"/>
        <v>0</v>
      </c>
      <c r="S43" s="332">
        <f t="shared" si="7"/>
        <v>0</v>
      </c>
      <c r="T43" s="332">
        <f t="shared" si="7"/>
        <v>0</v>
      </c>
      <c r="U43" s="332">
        <f t="shared" si="7"/>
        <v>0</v>
      </c>
      <c r="V43" s="668"/>
    </row>
    <row r="44" spans="1:22" x14ac:dyDescent="0.2">
      <c r="A44" s="330"/>
      <c r="B44" s="327"/>
      <c r="C44" s="327"/>
      <c r="D44" s="327"/>
      <c r="E44" s="327"/>
      <c r="F44" s="327"/>
      <c r="G44" s="327"/>
      <c r="H44" s="327"/>
      <c r="I44" s="327"/>
      <c r="J44" s="327"/>
      <c r="K44" s="327"/>
      <c r="L44" s="327"/>
      <c r="M44" s="327"/>
      <c r="N44" s="327"/>
      <c r="O44" s="327"/>
      <c r="P44" s="327"/>
      <c r="Q44" s="327"/>
      <c r="R44" s="327"/>
      <c r="S44" s="327"/>
      <c r="T44" s="327"/>
      <c r="U44" s="327"/>
      <c r="V44" s="665"/>
    </row>
    <row r="45" spans="1:22" s="333" customFormat="1" x14ac:dyDescent="0.2">
      <c r="A45" s="326" t="s">
        <v>592</v>
      </c>
      <c r="B45" s="332">
        <f>B21+B32+B43</f>
        <v>9.9999999999999978E-2</v>
      </c>
      <c r="C45" s="332">
        <f>C21+C32+C43</f>
        <v>6.9999999999999979E-2</v>
      </c>
      <c r="D45" s="332">
        <f t="shared" ref="D45:U45" si="8">D21+D32+D43</f>
        <v>0.11000000000000076</v>
      </c>
      <c r="E45" s="332">
        <f t="shared" si="8"/>
        <v>0</v>
      </c>
      <c r="F45" s="332">
        <f t="shared" si="8"/>
        <v>0.49700000000000166</v>
      </c>
      <c r="G45" s="332">
        <f t="shared" si="8"/>
        <v>0.12581187500000457</v>
      </c>
      <c r="H45" s="332">
        <f t="shared" si="8"/>
        <v>2.3469875000009743E-2</v>
      </c>
      <c r="I45" s="332">
        <f t="shared" si="8"/>
        <v>2.5470624999952562E-3</v>
      </c>
      <c r="J45" s="332">
        <f t="shared" si="8"/>
        <v>2.9581249999921511E-4</v>
      </c>
      <c r="K45" s="332">
        <f t="shared" si="8"/>
        <v>5.1689874999997887E-2</v>
      </c>
      <c r="L45" s="332">
        <f t="shared" si="8"/>
        <v>-5.2815625000106614E-3</v>
      </c>
      <c r="M45" s="332">
        <f t="shared" si="8"/>
        <v>2.4068640625000004</v>
      </c>
      <c r="N45" s="332">
        <f t="shared" si="8"/>
        <v>0</v>
      </c>
      <c r="O45" s="332">
        <f t="shared" si="8"/>
        <v>0</v>
      </c>
      <c r="P45" s="332">
        <f t="shared" si="8"/>
        <v>21.71</v>
      </c>
      <c r="Q45" s="332">
        <f t="shared" si="8"/>
        <v>0</v>
      </c>
      <c r="R45" s="332">
        <f t="shared" si="8"/>
        <v>0</v>
      </c>
      <c r="S45" s="332">
        <f t="shared" si="8"/>
        <v>0</v>
      </c>
      <c r="T45" s="332">
        <f t="shared" si="8"/>
        <v>0</v>
      </c>
      <c r="U45" s="332">
        <f t="shared" si="8"/>
        <v>0</v>
      </c>
      <c r="V45" s="668"/>
    </row>
    <row r="46" spans="1:22" s="333" customFormat="1" ht="36" customHeight="1" x14ac:dyDescent="0.2">
      <c r="A46" s="666"/>
      <c r="B46" s="667"/>
      <c r="C46" s="667"/>
      <c r="D46" s="667"/>
      <c r="E46" s="667"/>
      <c r="F46" s="667"/>
      <c r="G46" s="667"/>
      <c r="H46" s="667"/>
      <c r="I46" s="667"/>
      <c r="J46" s="667"/>
      <c r="K46" s="667"/>
      <c r="L46" s="667"/>
      <c r="M46" s="667"/>
      <c r="N46" s="667"/>
      <c r="O46" s="667"/>
      <c r="P46" s="667"/>
      <c r="Q46" s="667"/>
      <c r="R46" s="667"/>
      <c r="S46" s="667"/>
      <c r="T46" s="667"/>
      <c r="U46" s="667"/>
      <c r="V46" s="668"/>
    </row>
    <row r="47" spans="1:22" s="333" customFormat="1" x14ac:dyDescent="0.2">
      <c r="A47" s="337" t="s">
        <v>449</v>
      </c>
      <c r="B47" s="160">
        <v>0</v>
      </c>
      <c r="C47" s="338">
        <f>B48</f>
        <v>9.9999999999999978E-2</v>
      </c>
      <c r="D47" s="338">
        <f t="shared" ref="D47:U47" si="9">C48</f>
        <v>0.16999999999999996</v>
      </c>
      <c r="E47" s="338">
        <f t="shared" si="9"/>
        <v>0.28000000000000069</v>
      </c>
      <c r="F47" s="338">
        <f t="shared" si="9"/>
        <v>0.28000000000000069</v>
      </c>
      <c r="G47" s="338">
        <f t="shared" si="9"/>
        <v>0.77700000000000236</v>
      </c>
      <c r="H47" s="338">
        <f t="shared" si="9"/>
        <v>0.90281187500000692</v>
      </c>
      <c r="I47" s="338">
        <f t="shared" si="9"/>
        <v>0.92628175000001667</v>
      </c>
      <c r="J47" s="338">
        <f t="shared" si="9"/>
        <v>0.92882881250001192</v>
      </c>
      <c r="K47" s="338">
        <f t="shared" si="9"/>
        <v>0.92912462500001114</v>
      </c>
      <c r="L47" s="338">
        <f t="shared" si="9"/>
        <v>0.98081450000000903</v>
      </c>
      <c r="M47" s="338">
        <f t="shared" si="9"/>
        <v>0.97553293749999836</v>
      </c>
      <c r="N47" s="338">
        <f t="shared" si="9"/>
        <v>3.3823969999999988</v>
      </c>
      <c r="O47" s="338">
        <f t="shared" si="9"/>
        <v>3.3823969999999988</v>
      </c>
      <c r="P47" s="338">
        <f t="shared" si="9"/>
        <v>3.3823969999999988</v>
      </c>
      <c r="Q47" s="338">
        <f t="shared" si="9"/>
        <v>25.092396999999998</v>
      </c>
      <c r="R47" s="338">
        <f t="shared" si="9"/>
        <v>25.092396999999998</v>
      </c>
      <c r="S47" s="338">
        <f t="shared" si="9"/>
        <v>25.092396999999998</v>
      </c>
      <c r="T47" s="338">
        <f t="shared" si="9"/>
        <v>25.092396999999998</v>
      </c>
      <c r="U47" s="338">
        <f t="shared" si="9"/>
        <v>25.092396999999998</v>
      </c>
      <c r="V47" s="668"/>
    </row>
    <row r="48" spans="1:22" s="333" customFormat="1" x14ac:dyDescent="0.2">
      <c r="A48" s="335" t="s">
        <v>450</v>
      </c>
      <c r="B48" s="338">
        <f>SUM(B45:B47)</f>
        <v>9.9999999999999978E-2</v>
      </c>
      <c r="C48" s="338">
        <f>SUM(C45:C47)</f>
        <v>0.16999999999999996</v>
      </c>
      <c r="D48" s="338">
        <f t="shared" ref="D48:U48" si="10">SUM(D45:D47)</f>
        <v>0.28000000000000069</v>
      </c>
      <c r="E48" s="338">
        <f t="shared" si="10"/>
        <v>0.28000000000000069</v>
      </c>
      <c r="F48" s="338">
        <f t="shared" si="10"/>
        <v>0.77700000000000236</v>
      </c>
      <c r="G48" s="338">
        <f t="shared" si="10"/>
        <v>0.90281187500000692</v>
      </c>
      <c r="H48" s="338">
        <f t="shared" si="10"/>
        <v>0.92628175000001667</v>
      </c>
      <c r="I48" s="338">
        <f t="shared" si="10"/>
        <v>0.92882881250001192</v>
      </c>
      <c r="J48" s="338">
        <f t="shared" si="10"/>
        <v>0.92912462500001114</v>
      </c>
      <c r="K48" s="338">
        <f t="shared" si="10"/>
        <v>0.98081450000000903</v>
      </c>
      <c r="L48" s="338">
        <f t="shared" si="10"/>
        <v>0.97553293749999836</v>
      </c>
      <c r="M48" s="338">
        <f t="shared" si="10"/>
        <v>3.3823969999999988</v>
      </c>
      <c r="N48" s="338">
        <f t="shared" si="10"/>
        <v>3.3823969999999988</v>
      </c>
      <c r="O48" s="338">
        <f t="shared" si="10"/>
        <v>3.3823969999999988</v>
      </c>
      <c r="P48" s="338">
        <f t="shared" si="10"/>
        <v>25.092396999999998</v>
      </c>
      <c r="Q48" s="338">
        <f t="shared" si="10"/>
        <v>25.092396999999998</v>
      </c>
      <c r="R48" s="338">
        <f t="shared" si="10"/>
        <v>25.092396999999998</v>
      </c>
      <c r="S48" s="338">
        <f t="shared" si="10"/>
        <v>25.092396999999998</v>
      </c>
      <c r="T48" s="338">
        <f t="shared" si="10"/>
        <v>25.092396999999998</v>
      </c>
      <c r="U48" s="338">
        <f t="shared" si="10"/>
        <v>25.092396999999998</v>
      </c>
      <c r="V48" s="668"/>
    </row>
    <row r="49" spans="1:22" s="333" customFormat="1" x14ac:dyDescent="0.2">
      <c r="A49" s="339" t="s">
        <v>780</v>
      </c>
      <c r="B49" s="338">
        <f>SUM(Asset!C12:C16)</f>
        <v>0.12</v>
      </c>
      <c r="C49" s="338">
        <f>SUM(Asset!D12:D16)</f>
        <v>0.19</v>
      </c>
      <c r="D49" s="338">
        <f>SUM(Asset!E12:E16)</f>
        <v>0.3</v>
      </c>
      <c r="E49" s="338">
        <f>SUM(Asset!F12:F16)</f>
        <v>0.3</v>
      </c>
      <c r="F49" s="338">
        <f>SUM(Asset!G12:G16)</f>
        <v>0.8</v>
      </c>
      <c r="G49" s="338">
        <f>SUM(Asset!H12:H16)</f>
        <v>0.92</v>
      </c>
      <c r="H49" s="338">
        <f>SUM(Asset!I12:I16)</f>
        <v>0.95</v>
      </c>
      <c r="I49" s="338">
        <f>SUM(Asset!J12:J16)</f>
        <v>0.95</v>
      </c>
      <c r="J49" s="338">
        <f>SUM(Asset!K12:K16)</f>
        <v>0.95</v>
      </c>
      <c r="K49" s="338">
        <f>SUM(Asset!L12:L16)</f>
        <v>1</v>
      </c>
      <c r="L49" s="338">
        <f>SUM(Asset!M12:M16)</f>
        <v>1</v>
      </c>
      <c r="M49" s="338">
        <f>SUM(Asset!N12:N16)</f>
        <v>0</v>
      </c>
      <c r="N49" s="338">
        <f>SUM(Asset!O12:O16)</f>
        <v>0</v>
      </c>
      <c r="O49" s="338">
        <f>SUM(Asset!P12:P16)</f>
        <v>0</v>
      </c>
      <c r="P49" s="338">
        <f>SUM(Asset!Q12:Q16)</f>
        <v>0</v>
      </c>
      <c r="Q49" s="338">
        <f>SUM(Asset!R12:R16)</f>
        <v>0</v>
      </c>
      <c r="R49" s="338">
        <f>SUM(Asset!S12:S16)</f>
        <v>0</v>
      </c>
      <c r="S49" s="338">
        <f>SUM(Asset!T12:T16)</f>
        <v>0</v>
      </c>
      <c r="T49" s="338">
        <f>SUM(Asset!U12:U16)</f>
        <v>0</v>
      </c>
      <c r="U49" s="338">
        <f>SUM(Asset!V12:V16)</f>
        <v>0</v>
      </c>
      <c r="V49" s="668"/>
    </row>
    <row r="50" spans="1:22" s="340" customFormat="1" x14ac:dyDescent="0.2">
      <c r="A50" s="339" t="s">
        <v>779</v>
      </c>
      <c r="B50" s="122">
        <f>B48-B49</f>
        <v>-2.0000000000000018E-2</v>
      </c>
      <c r="C50" s="122">
        <f>C48-SUM(Asset!D12:D16)</f>
        <v>-2.0000000000000046E-2</v>
      </c>
      <c r="D50" s="122">
        <f>D48-SUM(Asset!E12:E16)</f>
        <v>-1.9999999999999296E-2</v>
      </c>
      <c r="E50" s="122">
        <f>E48-SUM(Asset!F12:F16)</f>
        <v>-1.9999999999999296E-2</v>
      </c>
      <c r="F50" s="122">
        <f>F48-SUM(Asset!G12:G16)</f>
        <v>-2.2999999999997689E-2</v>
      </c>
      <c r="G50" s="122">
        <f>G48-SUM(Asset!H12:H16)</f>
        <v>-1.7188124999993115E-2</v>
      </c>
      <c r="H50" s="122">
        <f>H48-SUM(Asset!I12:I16)</f>
        <v>-2.3718249999983287E-2</v>
      </c>
      <c r="I50" s="122">
        <f>I48-SUM(Asset!J12:J16)</f>
        <v>-2.1171187499988031E-2</v>
      </c>
      <c r="J50" s="122">
        <f>J48-SUM(Asset!K12:K16)</f>
        <v>-2.0875374999988816E-2</v>
      </c>
      <c r="K50" s="122">
        <f>K48-SUM(Asset!L12:L16)</f>
        <v>-1.9185499999990974E-2</v>
      </c>
      <c r="L50" s="122">
        <f>L48-SUM(Asset!M12:M16)</f>
        <v>-2.4467062500001635E-2</v>
      </c>
      <c r="M50" s="122">
        <f>M48-SUM(Asset!N12:N16)</f>
        <v>3.3823969999999988</v>
      </c>
      <c r="N50" s="122">
        <f>N48-SUM(Asset!O12:O16)</f>
        <v>3.3823969999999988</v>
      </c>
      <c r="O50" s="122">
        <f>O48-SUM(Asset!P12:P16)</f>
        <v>3.3823969999999988</v>
      </c>
      <c r="P50" s="122">
        <f>P48-SUM(Asset!Q12:Q16)</f>
        <v>25.092396999999998</v>
      </c>
      <c r="Q50" s="122">
        <f>Q48-SUM(Asset!R12:R16)</f>
        <v>25.092396999999998</v>
      </c>
      <c r="R50" s="122">
        <f>R48-SUM(Asset!S12:S16)</f>
        <v>25.092396999999998</v>
      </c>
      <c r="S50" s="122">
        <f>S48-SUM(Asset!T12:T16)</f>
        <v>25.092396999999998</v>
      </c>
      <c r="T50" s="122">
        <f>T48-SUM(Asset!U12:U16)</f>
        <v>25.092396999999998</v>
      </c>
      <c r="U50" s="122">
        <f>U48-SUM(Asset!V12:V16)</f>
        <v>25.092396999999998</v>
      </c>
      <c r="V50" s="670"/>
    </row>
    <row r="51" spans="1:22" s="1007" customFormat="1" ht="26.25" customHeight="1" x14ac:dyDescent="0.2">
      <c r="A51" s="1008" t="s">
        <v>1079</v>
      </c>
      <c r="B51" s="1006"/>
      <c r="C51" s="1006"/>
      <c r="D51" s="1006"/>
      <c r="E51" s="1006"/>
      <c r="F51" s="1006"/>
      <c r="G51" s="1006"/>
      <c r="H51" s="1006"/>
      <c r="I51" s="1006"/>
      <c r="J51" s="1006"/>
      <c r="K51" s="1006"/>
      <c r="L51" s="1006"/>
      <c r="M51" s="1006"/>
      <c r="N51" s="1006"/>
      <c r="O51" s="1006"/>
      <c r="P51" s="1006"/>
      <c r="Q51" s="1006"/>
      <c r="R51" s="1006"/>
      <c r="S51" s="1006"/>
      <c r="T51" s="1006"/>
      <c r="U51" s="1006"/>
      <c r="V51" s="1006"/>
    </row>
  </sheetData>
  <protectedRanges>
    <protectedRange sqref="B28 B13:B17" name="Range4"/>
    <protectedRange sqref="B11:B12" name="Range3"/>
    <protectedRange sqref="B35:B39 B24:B27" name="Range5"/>
    <protectedRange sqref="B47" name="Range6"/>
  </protectedRanges>
  <phoneticPr fontId="0" type="noConversion"/>
  <pageMargins left="0.7" right="0.7" top="0.75" bottom="0.75" header="0.3" footer="0.3"/>
  <pageSetup orientation="portrait"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V91"/>
  <sheetViews>
    <sheetView topLeftCell="A28" zoomScale="90" zoomScaleNormal="90" workbookViewId="0">
      <selection activeCell="F4" sqref="F4"/>
    </sheetView>
  </sheetViews>
  <sheetFormatPr defaultColWidth="10.42578125" defaultRowHeight="15" x14ac:dyDescent="0.25"/>
  <cols>
    <col min="1" max="1" width="47.42578125" style="79" customWidth="1"/>
    <col min="2" max="3" width="10.7109375" style="79" customWidth="1"/>
    <col min="4" max="11" width="10.7109375" style="91" customWidth="1"/>
    <col min="12" max="21" width="10.7109375" style="79" customWidth="1"/>
    <col min="22" max="22" width="10.42578125" style="92"/>
    <col min="23" max="16384" width="10.42578125" style="79"/>
  </cols>
  <sheetData>
    <row r="1" spans="1:22" ht="15.75" customHeight="1" x14ac:dyDescent="0.25">
      <c r="A1" s="1111" t="s">
        <v>680</v>
      </c>
      <c r="B1" s="1112"/>
      <c r="C1" s="1112"/>
      <c r="D1" s="1112"/>
      <c r="E1" s="1112"/>
      <c r="F1" s="1112"/>
      <c r="G1" s="1112"/>
      <c r="H1" s="1112"/>
      <c r="I1" s="1112"/>
      <c r="J1" s="1112"/>
      <c r="K1" s="1112"/>
      <c r="L1" s="1112"/>
      <c r="M1" s="1112"/>
      <c r="N1" s="1112"/>
      <c r="O1" s="1112"/>
      <c r="P1" s="1112"/>
      <c r="Q1" s="1112"/>
      <c r="R1" s="1112"/>
      <c r="S1" s="1112"/>
      <c r="T1" s="1112"/>
      <c r="U1" s="1112"/>
      <c r="V1" s="1112"/>
    </row>
    <row r="2" spans="1:22" s="81" customFormat="1" x14ac:dyDescent="0.25">
      <c r="A2" s="194"/>
      <c r="B2" s="80">
        <f>'Oper.St.'!C11</f>
        <v>2020</v>
      </c>
      <c r="C2" s="80">
        <f>'Oper.St.'!D11</f>
        <v>2021</v>
      </c>
      <c r="D2" s="80">
        <f>'Oper.St.'!E11</f>
        <v>2022</v>
      </c>
      <c r="E2" s="80">
        <f>'Oper.St.'!F11</f>
        <v>2023</v>
      </c>
      <c r="F2" s="80">
        <f>'Oper.St.'!G11</f>
        <v>2024</v>
      </c>
      <c r="G2" s="80">
        <f>'Oper.St.'!H11</f>
        <v>2025</v>
      </c>
      <c r="H2" s="80">
        <f>'Oper.St.'!I11</f>
        <v>2026</v>
      </c>
      <c r="I2" s="80">
        <f>'Oper.St.'!J11</f>
        <v>2027</v>
      </c>
      <c r="J2" s="80">
        <f>'Oper.St.'!K11</f>
        <v>2028</v>
      </c>
      <c r="K2" s="80">
        <f>'Oper.St.'!L11</f>
        <v>2029</v>
      </c>
      <c r="L2" s="80">
        <f>'Oper.St.'!M11</f>
        <v>2030</v>
      </c>
      <c r="M2" s="80">
        <f>'Oper.St.'!N11</f>
        <v>2031</v>
      </c>
      <c r="N2" s="80">
        <f>'Oper.St.'!O11</f>
        <v>2032</v>
      </c>
      <c r="O2" s="80">
        <f>'Oper.St.'!P11</f>
        <v>2033</v>
      </c>
      <c r="P2" s="80">
        <f>'Oper.St.'!Q11</f>
        <v>2034</v>
      </c>
      <c r="Q2" s="80">
        <f>'Oper.St.'!R11</f>
        <v>2035</v>
      </c>
      <c r="R2" s="80">
        <f>'Oper.St.'!S11</f>
        <v>2036</v>
      </c>
      <c r="S2" s="80">
        <f>'Oper.St.'!T11</f>
        <v>2037</v>
      </c>
      <c r="T2" s="80">
        <f>'Oper.St.'!U11</f>
        <v>2038</v>
      </c>
      <c r="U2" s="80">
        <f>'Oper.St.'!V11</f>
        <v>2039</v>
      </c>
      <c r="V2" s="570" t="s">
        <v>258</v>
      </c>
    </row>
    <row r="3" spans="1:22" s="83" customFormat="1" x14ac:dyDescent="0.25">
      <c r="A3" s="82" t="s">
        <v>307</v>
      </c>
      <c r="B3" s="191">
        <v>0</v>
      </c>
      <c r="C3" s="191">
        <v>0</v>
      </c>
      <c r="D3" s="191">
        <v>0</v>
      </c>
      <c r="E3" s="191">
        <v>0</v>
      </c>
      <c r="F3" s="191">
        <v>0</v>
      </c>
      <c r="G3" s="191">
        <v>0</v>
      </c>
      <c r="H3" s="191">
        <v>0</v>
      </c>
      <c r="I3" s="191">
        <v>0</v>
      </c>
      <c r="J3" s="191">
        <v>0</v>
      </c>
      <c r="K3" s="191">
        <v>0</v>
      </c>
      <c r="L3" s="191">
        <v>0</v>
      </c>
      <c r="M3" s="191">
        <v>0</v>
      </c>
      <c r="N3" s="191">
        <v>0</v>
      </c>
      <c r="O3" s="191">
        <v>0</v>
      </c>
      <c r="P3" s="191">
        <v>0</v>
      </c>
      <c r="Q3" s="191">
        <v>0</v>
      </c>
      <c r="R3" s="191">
        <v>0</v>
      </c>
      <c r="S3" s="191">
        <v>0</v>
      </c>
      <c r="T3" s="191">
        <v>0</v>
      </c>
      <c r="U3" s="191">
        <v>0</v>
      </c>
      <c r="V3" s="674"/>
    </row>
    <row r="4" spans="1:22" s="83" customFormat="1" ht="18.75" customHeight="1" x14ac:dyDescent="0.25">
      <c r="A4" s="823" t="s">
        <v>1013</v>
      </c>
      <c r="B4" s="84"/>
      <c r="C4" s="84"/>
      <c r="D4" s="84"/>
      <c r="E4" s="84"/>
      <c r="F4" s="84"/>
      <c r="G4" s="84"/>
      <c r="H4" s="84"/>
      <c r="I4" s="84"/>
      <c r="J4" s="84"/>
      <c r="K4" s="84"/>
      <c r="L4" s="84"/>
      <c r="M4" s="84"/>
      <c r="N4" s="84"/>
      <c r="O4" s="84"/>
      <c r="P4" s="84"/>
      <c r="Q4" s="84"/>
      <c r="R4" s="84"/>
      <c r="S4" s="84"/>
      <c r="T4" s="84"/>
      <c r="U4" s="84"/>
      <c r="V4" s="674"/>
    </row>
    <row r="5" spans="1:22" s="83" customFormat="1" x14ac:dyDescent="0.25">
      <c r="A5" s="192" t="s">
        <v>1016</v>
      </c>
      <c r="B5" s="191">
        <v>0</v>
      </c>
      <c r="C5" s="84"/>
      <c r="D5" s="84"/>
      <c r="E5" s="84"/>
      <c r="F5" s="84"/>
      <c r="G5" s="84"/>
      <c r="H5" s="84"/>
      <c r="I5" s="84"/>
      <c r="J5" s="84"/>
      <c r="K5" s="84"/>
      <c r="L5" s="84"/>
      <c r="M5" s="84"/>
      <c r="N5" s="84"/>
      <c r="O5" s="84"/>
      <c r="P5" s="84"/>
      <c r="Q5" s="84"/>
      <c r="R5" s="84"/>
      <c r="S5" s="84"/>
      <c r="T5" s="84"/>
      <c r="U5" s="84"/>
      <c r="V5" s="674"/>
    </row>
    <row r="6" spans="1:22" s="83" customFormat="1" x14ac:dyDescent="0.25">
      <c r="A6" s="192" t="s">
        <v>1004</v>
      </c>
      <c r="B6" s="191">
        <v>0</v>
      </c>
      <c r="C6" s="84"/>
      <c r="D6" s="84"/>
      <c r="E6" s="84"/>
      <c r="F6" s="84"/>
      <c r="G6" s="84"/>
      <c r="H6" s="84"/>
      <c r="I6" s="84"/>
      <c r="J6" s="84"/>
      <c r="K6" s="84"/>
      <c r="L6" s="84"/>
      <c r="M6" s="84"/>
      <c r="N6" s="84"/>
      <c r="O6" s="84"/>
      <c r="P6" s="84"/>
      <c r="Q6" s="84"/>
      <c r="R6" s="84"/>
      <c r="S6" s="84"/>
      <c r="T6" s="84"/>
      <c r="U6" s="84"/>
      <c r="V6" s="674"/>
    </row>
    <row r="7" spans="1:22" s="83" customFormat="1" x14ac:dyDescent="0.25">
      <c r="A7" s="192" t="s">
        <v>1010</v>
      </c>
      <c r="B7" s="191">
        <v>0</v>
      </c>
      <c r="C7" s="84"/>
      <c r="D7" s="84"/>
      <c r="E7" s="84"/>
      <c r="F7" s="84"/>
      <c r="G7" s="84"/>
      <c r="H7" s="84"/>
      <c r="I7" s="84"/>
      <c r="J7" s="84"/>
      <c r="K7" s="84"/>
      <c r="L7" s="84"/>
      <c r="M7" s="84"/>
      <c r="N7" s="84"/>
      <c r="O7" s="84"/>
      <c r="P7" s="84"/>
      <c r="Q7" s="84"/>
      <c r="R7" s="84"/>
      <c r="S7" s="84"/>
      <c r="T7" s="84"/>
      <c r="U7" s="84"/>
      <c r="V7" s="674"/>
    </row>
    <row r="8" spans="1:22" s="83" customFormat="1" x14ac:dyDescent="0.25">
      <c r="A8" s="192" t="s">
        <v>1017</v>
      </c>
      <c r="B8" s="191">
        <v>0</v>
      </c>
      <c r="C8" s="84"/>
      <c r="D8" s="84"/>
      <c r="E8" s="84"/>
      <c r="F8" s="84"/>
      <c r="G8" s="84"/>
      <c r="H8" s="84"/>
      <c r="I8" s="84"/>
      <c r="J8" s="84"/>
      <c r="K8" s="84"/>
      <c r="L8" s="84"/>
      <c r="M8" s="84"/>
      <c r="N8" s="84"/>
      <c r="O8" s="84"/>
      <c r="P8" s="84"/>
      <c r="Q8" s="84"/>
      <c r="R8" s="84"/>
      <c r="S8" s="84"/>
      <c r="T8" s="84"/>
      <c r="U8" s="84"/>
      <c r="V8" s="674"/>
    </row>
    <row r="9" spans="1:22" s="83" customFormat="1" x14ac:dyDescent="0.25">
      <c r="A9" s="192"/>
      <c r="B9" s="84"/>
      <c r="C9" s="84"/>
      <c r="D9" s="84"/>
      <c r="E9" s="84"/>
      <c r="F9" s="84"/>
      <c r="G9" s="84"/>
      <c r="H9" s="84"/>
      <c r="I9" s="84"/>
      <c r="J9" s="84"/>
      <c r="K9" s="84"/>
      <c r="L9" s="84"/>
      <c r="M9" s="84"/>
      <c r="N9" s="84"/>
      <c r="O9" s="84"/>
      <c r="P9" s="84"/>
      <c r="Q9" s="84"/>
      <c r="R9" s="84"/>
      <c r="S9" s="84"/>
      <c r="T9" s="84"/>
      <c r="U9" s="84"/>
      <c r="V9" s="674"/>
    </row>
    <row r="10" spans="1:22" x14ac:dyDescent="0.25">
      <c r="A10" s="163" t="s">
        <v>598</v>
      </c>
      <c r="B10" s="191">
        <v>0</v>
      </c>
      <c r="C10" s="1122"/>
      <c r="D10" s="1123"/>
      <c r="E10" s="1123"/>
      <c r="F10" s="1123"/>
      <c r="G10" s="1123"/>
      <c r="H10" s="1123"/>
      <c r="I10" s="1123"/>
      <c r="J10" s="1123"/>
      <c r="K10" s="1123"/>
      <c r="L10" s="1123"/>
      <c r="M10" s="1123"/>
      <c r="N10" s="1123"/>
      <c r="O10" s="1123"/>
      <c r="P10" s="1123"/>
      <c r="Q10" s="1123"/>
      <c r="R10" s="1123"/>
      <c r="S10" s="1123"/>
      <c r="T10" s="1123"/>
      <c r="U10" s="1124"/>
      <c r="V10" s="674"/>
    </row>
    <row r="11" spans="1:22" s="83" customFormat="1" x14ac:dyDescent="0.25">
      <c r="A11" s="85" t="s">
        <v>308</v>
      </c>
      <c r="B11" s="69">
        <f>('Oper.St.'!C23+'Oper.St.'!C63-'Oper.St.'!C62)*(100%+$B$10)</f>
        <v>0.8</v>
      </c>
      <c r="C11" s="69">
        <f>('Oper.St.'!D23+'Oper.St.'!D63-'Oper.St.'!D62)*(100%+$B$10)</f>
        <v>1.05</v>
      </c>
      <c r="D11" s="69">
        <f>('Oper.St.'!E23+'Oper.St.'!E63-'Oper.St.'!E62)*(100%+$B$10)</f>
        <v>2.2000000000000002</v>
      </c>
      <c r="E11" s="69">
        <f>('Oper.St.'!F23+'Oper.St.'!F63-'Oper.St.'!F62)*(100%+$B$10)</f>
        <v>4</v>
      </c>
      <c r="F11" s="69">
        <f>('Oper.St.'!G23+'Oper.St.'!G63-'Oper.St.'!G62)*(100%+$B$10)</f>
        <v>22</v>
      </c>
      <c r="G11" s="69">
        <f>('Oper.St.'!H23+'Oper.St.'!H63-'Oper.St.'!H62)*(100%+$B$10)</f>
        <v>34.880000000000003</v>
      </c>
      <c r="H11" s="69">
        <f>('Oper.St.'!I23+'Oper.St.'!I63-'Oper.St.'!I62)*(100%+$B$10)</f>
        <v>41.82</v>
      </c>
      <c r="I11" s="69">
        <f>('Oper.St.'!J23+'Oper.St.'!J63-'Oper.St.'!J62)*(100%+$B$10)</f>
        <v>44.59</v>
      </c>
      <c r="J11" s="69">
        <f>('Oper.St.'!K23+'Oper.St.'!K63-'Oper.St.'!K62)*(100%+$B$10)</f>
        <v>48.46</v>
      </c>
      <c r="K11" s="69">
        <f>('Oper.St.'!L23+'Oper.St.'!L63-'Oper.St.'!L62)*(100%+$B$10)</f>
        <v>52.28</v>
      </c>
      <c r="L11" s="69">
        <f>('Oper.St.'!M23+'Oper.St.'!M63-'Oper.St.'!M62)*(100%+$B$10)</f>
        <v>56.25</v>
      </c>
      <c r="M11" s="69">
        <f>('Oper.St.'!N23+'Oper.St.'!N63-'Oper.St.'!N62)*(100%+$B$10)</f>
        <v>0</v>
      </c>
      <c r="N11" s="69">
        <f>('Oper.St.'!O23+'Oper.St.'!O63-'Oper.St.'!O62)*(100%+$B$10)</f>
        <v>0</v>
      </c>
      <c r="O11" s="69">
        <f>('Oper.St.'!P23+'Oper.St.'!P63-'Oper.St.'!P62)*(100%+$B$10)</f>
        <v>0</v>
      </c>
      <c r="P11" s="69">
        <f>('Oper.St.'!Q23+'Oper.St.'!Q63-'Oper.St.'!Q62)*(100%+$B$10)</f>
        <v>0</v>
      </c>
      <c r="Q11" s="69">
        <f>('Oper.St.'!R23+'Oper.St.'!R63-'Oper.St.'!R62)*(100%+$B$10)</f>
        <v>0</v>
      </c>
      <c r="R11" s="69">
        <f>('Oper.St.'!S23+'Oper.St.'!S63-'Oper.St.'!S62)*(100%+$B$10)</f>
        <v>0</v>
      </c>
      <c r="S11" s="69">
        <f>('Oper.St.'!T23+'Oper.St.'!T63-'Oper.St.'!T62)*(100%+$B$10)</f>
        <v>0</v>
      </c>
      <c r="T11" s="69">
        <f>('Oper.St.'!U23+'Oper.St.'!U63-'Oper.St.'!U62)*(100%+$B$10)</f>
        <v>0</v>
      </c>
      <c r="U11" s="69">
        <f>('Oper.St.'!V23+'Oper.St.'!V63-'Oper.St.'!V62)*(100%+$B$10)</f>
        <v>0</v>
      </c>
      <c r="V11" s="674"/>
    </row>
    <row r="12" spans="1:22" x14ac:dyDescent="0.25">
      <c r="A12" s="163" t="s">
        <v>599</v>
      </c>
      <c r="B12" s="191">
        <v>0</v>
      </c>
      <c r="C12" s="1125"/>
      <c r="D12" s="1126"/>
      <c r="E12" s="1126"/>
      <c r="F12" s="1126"/>
      <c r="G12" s="1126"/>
      <c r="H12" s="1126"/>
      <c r="I12" s="1126"/>
      <c r="J12" s="1126"/>
      <c r="K12" s="1126"/>
      <c r="L12" s="1126"/>
      <c r="M12" s="1126"/>
      <c r="N12" s="1126"/>
      <c r="O12" s="1126"/>
      <c r="P12" s="1126"/>
      <c r="Q12" s="1126"/>
      <c r="R12" s="1126"/>
      <c r="S12" s="1126"/>
      <c r="T12" s="1126"/>
      <c r="U12" s="1127"/>
      <c r="V12" s="674"/>
    </row>
    <row r="13" spans="1:22" x14ac:dyDescent="0.25">
      <c r="A13" s="66" t="s">
        <v>315</v>
      </c>
      <c r="B13" s="193">
        <f>('Oper.St.'!C34+'Oper.St.'!C58-'Oper.St.'!C59)*(100%+$B$12)</f>
        <v>0</v>
      </c>
      <c r="C13" s="193">
        <f>('Oper.St.'!D34+'Oper.St.'!D58-'Oper.St.'!D59)*(100%+$B$12)</f>
        <v>0</v>
      </c>
      <c r="D13" s="193">
        <f>('Oper.St.'!E34+'Oper.St.'!E58-'Oper.St.'!E59)*(100%+$B$12)</f>
        <v>0</v>
      </c>
      <c r="E13" s="193">
        <f>('Oper.St.'!F34+'Oper.St.'!F58-'Oper.St.'!F59)*(100%+$B$12)</f>
        <v>0</v>
      </c>
      <c r="F13" s="193">
        <f>('Oper.St.'!G34+'Oper.St.'!G58-'Oper.St.'!G59)*(100%+$B$12)</f>
        <v>8.5399999999999991</v>
      </c>
      <c r="G13" s="193">
        <f>('Oper.St.'!H34+'Oper.St.'!H58-'Oper.St.'!H59)*(100%+$B$12)</f>
        <v>13.93</v>
      </c>
      <c r="H13" s="193">
        <f>('Oper.St.'!I34+'Oper.St.'!I58-'Oper.St.'!I59)*(100%+$B$12)</f>
        <v>18.25</v>
      </c>
      <c r="I13" s="193">
        <f>('Oper.St.'!J34+'Oper.St.'!J58-'Oper.St.'!J59)*(100%+$B$12)</f>
        <v>19.399999999999999</v>
      </c>
      <c r="J13" s="193">
        <f>('Oper.St.'!K34+'Oper.St.'!K58-'Oper.St.'!K59)*(100%+$B$12)</f>
        <v>21.5</v>
      </c>
      <c r="K13" s="193">
        <f>('Oper.St.'!L34+'Oper.St.'!L58-'Oper.St.'!L59)*(100%+$B$12)</f>
        <v>23.3</v>
      </c>
      <c r="L13" s="193">
        <f>('Oper.St.'!M34+'Oper.St.'!M58-'Oper.St.'!M59)*(100%+$B$12)</f>
        <v>25</v>
      </c>
      <c r="M13" s="193">
        <f>('Oper.St.'!N34+'Oper.St.'!N58-'Oper.St.'!N59)*(100%+$B$12)</f>
        <v>0</v>
      </c>
      <c r="N13" s="193">
        <f>('Oper.St.'!O34+'Oper.St.'!O58-'Oper.St.'!O59)*(100%+$B$12)</f>
        <v>0</v>
      </c>
      <c r="O13" s="193">
        <f>('Oper.St.'!P34+'Oper.St.'!P58-'Oper.St.'!P59)*(100%+$B$12)</f>
        <v>0</v>
      </c>
      <c r="P13" s="193">
        <f>('Oper.St.'!Q34+'Oper.St.'!Q58-'Oper.St.'!Q59)*(100%+$B$12)</f>
        <v>0</v>
      </c>
      <c r="Q13" s="193">
        <f>('Oper.St.'!R34+'Oper.St.'!R58-'Oper.St.'!R59)*(100%+$B$12)</f>
        <v>0</v>
      </c>
      <c r="R13" s="193">
        <f>('Oper.St.'!S34+'Oper.St.'!S58-'Oper.St.'!S59)*(100%+$B$12)</f>
        <v>0</v>
      </c>
      <c r="S13" s="193">
        <f>('Oper.St.'!T34+'Oper.St.'!T58-'Oper.St.'!T59)*(100%+$B$12)</f>
        <v>0</v>
      </c>
      <c r="T13" s="193">
        <f>('Oper.St.'!U34+'Oper.St.'!U58-'Oper.St.'!U59)*(100%+$B$12)</f>
        <v>0</v>
      </c>
      <c r="U13" s="193">
        <f>('Oper.St.'!V34+'Oper.St.'!V58-'Oper.St.'!V59)*(100%+$B$12)</f>
        <v>0</v>
      </c>
      <c r="V13" s="674"/>
    </row>
    <row r="14" spans="1:22" x14ac:dyDescent="0.25">
      <c r="A14" s="66" t="s">
        <v>999</v>
      </c>
      <c r="B14" s="193">
        <f>('Oper.St.'!C38)*(100%+$B$12)</f>
        <v>0</v>
      </c>
      <c r="C14" s="193">
        <f>('Oper.St.'!D38)*(100%+$B$12)</f>
        <v>0</v>
      </c>
      <c r="D14" s="193">
        <f>('Oper.St.'!E38)*(100%+$B$12)</f>
        <v>0</v>
      </c>
      <c r="E14" s="193">
        <f>('Oper.St.'!F38)*(100%+$B$12)</f>
        <v>0</v>
      </c>
      <c r="F14" s="193">
        <f>('Oper.St.'!G38)*(100%+$B$12)</f>
        <v>0</v>
      </c>
      <c r="G14" s="193">
        <f>('Oper.St.'!H38)*(100%+$B$12)</f>
        <v>0</v>
      </c>
      <c r="H14" s="193">
        <f>('Oper.St.'!I38)*(100%+$B$12)</f>
        <v>0</v>
      </c>
      <c r="I14" s="193">
        <f>('Oper.St.'!J38)*(100%+$B$12)</f>
        <v>0</v>
      </c>
      <c r="J14" s="193">
        <f>('Oper.St.'!K38)*(100%+$B$12)</f>
        <v>0</v>
      </c>
      <c r="K14" s="193">
        <f>('Oper.St.'!L38)*(100%+$B$12)</f>
        <v>0</v>
      </c>
      <c r="L14" s="193">
        <f>('Oper.St.'!M38)*(100%+$B$12)</f>
        <v>0</v>
      </c>
      <c r="M14" s="193">
        <f>('Oper.St.'!N38)*(100%+$B$12)</f>
        <v>0</v>
      </c>
      <c r="N14" s="193">
        <f>('Oper.St.'!O38)*(100%+$B$12)</f>
        <v>0</v>
      </c>
      <c r="O14" s="193">
        <f>('Oper.St.'!P38)*(100%+$B$12)</f>
        <v>0</v>
      </c>
      <c r="P14" s="193">
        <f>('Oper.St.'!Q38)*(100%+$B$12)</f>
        <v>0</v>
      </c>
      <c r="Q14" s="193">
        <f>('Oper.St.'!R38)*(100%+$B$12)</f>
        <v>0</v>
      </c>
      <c r="R14" s="193">
        <f>('Oper.St.'!S38)*(100%+$B$12)</f>
        <v>0</v>
      </c>
      <c r="S14" s="193">
        <f>('Oper.St.'!T38)*(100%+$B$12)</f>
        <v>0</v>
      </c>
      <c r="T14" s="193">
        <f>('Oper.St.'!U38)*(100%+$B$12)</f>
        <v>0</v>
      </c>
      <c r="U14" s="193">
        <f>('Oper.St.'!V38)*(100%+$B$12)</f>
        <v>0</v>
      </c>
      <c r="V14" s="674"/>
    </row>
    <row r="15" spans="1:22" x14ac:dyDescent="0.25">
      <c r="A15" s="66" t="s">
        <v>1015</v>
      </c>
      <c r="B15" s="193">
        <f>('Oper.St.'!C40*(100%-Sensitivity!$B$5))*(100%+$B$12)</f>
        <v>0</v>
      </c>
      <c r="C15" s="193">
        <f>('Oper.St.'!D40*(100%-Sensitivity!$B$5))*(100%+$B$12)</f>
        <v>0</v>
      </c>
      <c r="D15" s="193">
        <f>('Oper.St.'!E40*(100%-Sensitivity!$B$5))*(100%+$B$12)</f>
        <v>0</v>
      </c>
      <c r="E15" s="193">
        <f>('Oper.St.'!F40*(100%-Sensitivity!$B$5))*(100%+$B$12)</f>
        <v>0</v>
      </c>
      <c r="F15" s="193">
        <f>('Oper.St.'!G40*(100%-Sensitivity!$B$5))*(100%+$B$12)</f>
        <v>0.75</v>
      </c>
      <c r="G15" s="193">
        <f>('Oper.St.'!H40*(100%-Sensitivity!$B$5))*(100%+$B$12)</f>
        <v>1.41</v>
      </c>
      <c r="H15" s="193">
        <f>('Oper.St.'!I40*(100%-Sensitivity!$B$5))*(100%+$B$12)</f>
        <v>1.67</v>
      </c>
      <c r="I15" s="193">
        <f>('Oper.St.'!J40*(100%-Sensitivity!$B$5))*(100%+$B$12)</f>
        <v>1.8</v>
      </c>
      <c r="J15" s="193">
        <f>('Oper.St.'!K40*(100%-Sensitivity!$B$5))*(100%+$B$12)</f>
        <v>1.93</v>
      </c>
      <c r="K15" s="193">
        <f>('Oper.St.'!L40*(100%-Sensitivity!$B$5))*(100%+$B$12)</f>
        <v>2.06</v>
      </c>
      <c r="L15" s="193">
        <f>('Oper.St.'!M40*(100%-Sensitivity!$B$5))*(100%+$B$12)</f>
        <v>2.19</v>
      </c>
      <c r="M15" s="193">
        <f>('Oper.St.'!N40*(100%-Sensitivity!$B$5))*(100%+$B$12)</f>
        <v>0</v>
      </c>
      <c r="N15" s="193">
        <f>('Oper.St.'!O40*(100%-Sensitivity!$B$5))*(100%+$B$12)</f>
        <v>0</v>
      </c>
      <c r="O15" s="193">
        <f>('Oper.St.'!P40*(100%-Sensitivity!$B$5))*(100%+$B$12)</f>
        <v>0</v>
      </c>
      <c r="P15" s="193">
        <f>('Oper.St.'!Q40*(100%-Sensitivity!$B$5))*(100%+$B$12)</f>
        <v>0</v>
      </c>
      <c r="Q15" s="193">
        <f>('Oper.St.'!R40*(100%-Sensitivity!$B$5))*(100%+$B$12)</f>
        <v>0</v>
      </c>
      <c r="R15" s="193">
        <f>('Oper.St.'!S40*(100%-Sensitivity!$B$5))*(100%+$B$12)</f>
        <v>0</v>
      </c>
      <c r="S15" s="193">
        <f>('Oper.St.'!T40*(100%-Sensitivity!$B$5))*(100%+$B$12)</f>
        <v>0</v>
      </c>
      <c r="T15" s="193">
        <f>('Oper.St.'!U40*(100%-Sensitivity!$B$5))*(100%+$B$12)</f>
        <v>0</v>
      </c>
      <c r="U15" s="193">
        <f>('Oper.St.'!V40*(100%-Sensitivity!$B$5))*(100%+$B$12)</f>
        <v>0</v>
      </c>
      <c r="V15" s="674"/>
    </row>
    <row r="16" spans="1:22" x14ac:dyDescent="0.25">
      <c r="A16" s="66" t="s">
        <v>1003</v>
      </c>
      <c r="B16" s="193">
        <f>('Oper.St.'!C42*(100%-Sensitivity!$B$6))*(100%+$B$12)</f>
        <v>0</v>
      </c>
      <c r="C16" s="193">
        <f>('Oper.St.'!D42*(100%-Sensitivity!$B$6))*(100%+$B$12)</f>
        <v>0</v>
      </c>
      <c r="D16" s="193">
        <f>('Oper.St.'!E42*(100%-Sensitivity!$B$6))*(100%+$B$12)</f>
        <v>0</v>
      </c>
      <c r="E16" s="193">
        <f>('Oper.St.'!F42*(100%-Sensitivity!$B$6))*(100%+$B$12)</f>
        <v>0</v>
      </c>
      <c r="F16" s="193">
        <f>('Oper.St.'!G42*(100%-Sensitivity!$B$6))*(100%+$B$12)</f>
        <v>3</v>
      </c>
      <c r="G16" s="193">
        <f>('Oper.St.'!H42*(100%-Sensitivity!$B$6))*(100%+$B$12)</f>
        <v>5.66</v>
      </c>
      <c r="H16" s="193">
        <f>('Oper.St.'!I42*(100%-Sensitivity!$B$6))*(100%+$B$12)</f>
        <v>6.68</v>
      </c>
      <c r="I16" s="193">
        <f>('Oper.St.'!J42*(100%-Sensitivity!$B$6))*(100%+$B$12)</f>
        <v>7.2</v>
      </c>
      <c r="J16" s="193">
        <f>('Oper.St.'!K42*(100%-Sensitivity!$B$6))*(100%+$B$12)</f>
        <v>7.71</v>
      </c>
      <c r="K16" s="193">
        <f>('Oper.St.'!L42*(100%-Sensitivity!$B$6))*(100%+$B$12)</f>
        <v>8.23</v>
      </c>
      <c r="L16" s="193">
        <f>('Oper.St.'!M42*(100%-Sensitivity!$B$6))*(100%+$B$12)</f>
        <v>8.74</v>
      </c>
      <c r="M16" s="193">
        <f>('Oper.St.'!N42*(100%-Sensitivity!$B$6))*(100%+$B$12)</f>
        <v>0</v>
      </c>
      <c r="N16" s="193">
        <f>('Oper.St.'!O42*(100%-Sensitivity!$B$6))*(100%+$B$12)</f>
        <v>0</v>
      </c>
      <c r="O16" s="193">
        <f>('Oper.St.'!P42*(100%-Sensitivity!$B$6))*(100%+$B$12)</f>
        <v>0</v>
      </c>
      <c r="P16" s="193">
        <f>('Oper.St.'!Q42*(100%-Sensitivity!$B$6))*(100%+$B$12)</f>
        <v>0</v>
      </c>
      <c r="Q16" s="193">
        <f>('Oper.St.'!R42*(100%-Sensitivity!$B$6))*(100%+$B$12)</f>
        <v>0</v>
      </c>
      <c r="R16" s="193">
        <f>('Oper.St.'!S42*(100%-Sensitivity!$B$6))*(100%+$B$12)</f>
        <v>0</v>
      </c>
      <c r="S16" s="193">
        <f>('Oper.St.'!T42*(100%-Sensitivity!$B$6))*(100%+$B$12)</f>
        <v>0</v>
      </c>
      <c r="T16" s="193">
        <f>('Oper.St.'!U42*(100%-Sensitivity!$B$6))*(100%+$B$12)</f>
        <v>0</v>
      </c>
      <c r="U16" s="193">
        <f>('Oper.St.'!V42*(100%-Sensitivity!$B$6))*(100%+$B$12)</f>
        <v>0</v>
      </c>
      <c r="V16" s="674"/>
    </row>
    <row r="17" spans="1:22" x14ac:dyDescent="0.25">
      <c r="A17" s="66" t="s">
        <v>1008</v>
      </c>
      <c r="B17" s="193">
        <f>('Oper.St.'!C45)*(100%+$B$12)</f>
        <v>0</v>
      </c>
      <c r="C17" s="193">
        <f>('Oper.St.'!D45)*(100%+$B$12)</f>
        <v>0</v>
      </c>
      <c r="D17" s="193">
        <f>('Oper.St.'!E45)*(100%+$B$12)</f>
        <v>0</v>
      </c>
      <c r="E17" s="193">
        <f>('Oper.St.'!F45)*(100%+$B$12)</f>
        <v>0</v>
      </c>
      <c r="F17" s="193">
        <f>('Oper.St.'!G45)*(100%+$B$12)</f>
        <v>0</v>
      </c>
      <c r="G17" s="193">
        <f>('Oper.St.'!H45)*(100%+$B$12)</f>
        <v>0</v>
      </c>
      <c r="H17" s="193">
        <f>('Oper.St.'!I45)*(100%+$B$12)</f>
        <v>0</v>
      </c>
      <c r="I17" s="193">
        <f>('Oper.St.'!J45)*(100%+$B$12)</f>
        <v>0</v>
      </c>
      <c r="J17" s="193">
        <f>('Oper.St.'!K45)*(100%+$B$12)</f>
        <v>0</v>
      </c>
      <c r="K17" s="193">
        <f>('Oper.St.'!L45)*(100%+$B$12)</f>
        <v>0</v>
      </c>
      <c r="L17" s="193">
        <f>('Oper.St.'!M45)*(100%+$B$12)</f>
        <v>0</v>
      </c>
      <c r="M17" s="193">
        <f>('Oper.St.'!N45)*(100%+$B$12)</f>
        <v>0</v>
      </c>
      <c r="N17" s="193">
        <f>('Oper.St.'!O45)*(100%+$B$12)</f>
        <v>0</v>
      </c>
      <c r="O17" s="193">
        <f>('Oper.St.'!P45)*(100%+$B$12)</f>
        <v>0</v>
      </c>
      <c r="P17" s="193">
        <f>('Oper.St.'!Q45)*(100%+$B$12)</f>
        <v>0</v>
      </c>
      <c r="Q17" s="193">
        <f>('Oper.St.'!R45)*(100%+$B$12)</f>
        <v>0</v>
      </c>
      <c r="R17" s="193">
        <f>('Oper.St.'!S45)*(100%+$B$12)</f>
        <v>0</v>
      </c>
      <c r="S17" s="193">
        <f>('Oper.St.'!T45)*(100%+$B$12)</f>
        <v>0</v>
      </c>
      <c r="T17" s="193">
        <f>('Oper.St.'!U45)*(100%+$B$12)</f>
        <v>0</v>
      </c>
      <c r="U17" s="193">
        <f>('Oper.St.'!V45)*(100%+$B$12)</f>
        <v>0</v>
      </c>
      <c r="V17" s="674"/>
    </row>
    <row r="18" spans="1:22" x14ac:dyDescent="0.25">
      <c r="A18" s="66" t="s">
        <v>1009</v>
      </c>
      <c r="B18" s="193">
        <f>('Oper.St.'!C46*(100%-Sensitivity!$B$7))*(100%+$B$12)</f>
        <v>0</v>
      </c>
      <c r="C18" s="193">
        <f>('Oper.St.'!D46*(100%-Sensitivity!$B$7))*(100%+$B$12)</f>
        <v>0</v>
      </c>
      <c r="D18" s="193">
        <f>('Oper.St.'!E46*(100%-Sensitivity!$B$7))*(100%+$B$12)</f>
        <v>0</v>
      </c>
      <c r="E18" s="193">
        <f>('Oper.St.'!F46*(100%-Sensitivity!$B$7))*(100%+$B$12)</f>
        <v>0</v>
      </c>
      <c r="F18" s="193">
        <f>('Oper.St.'!G46*(100%-Sensitivity!$B$7))*(100%+$B$12)</f>
        <v>0</v>
      </c>
      <c r="G18" s="193">
        <f>('Oper.St.'!H46*(100%-Sensitivity!$B$7))*(100%+$B$12)</f>
        <v>0</v>
      </c>
      <c r="H18" s="193">
        <f>('Oper.St.'!I46*(100%-Sensitivity!$B$7))*(100%+$B$12)</f>
        <v>0</v>
      </c>
      <c r="I18" s="193">
        <f>('Oper.St.'!J46*(100%-Sensitivity!$B$7))*(100%+$B$12)</f>
        <v>0</v>
      </c>
      <c r="J18" s="193">
        <f>('Oper.St.'!K46*(100%-Sensitivity!$B$7))*(100%+$B$12)</f>
        <v>0</v>
      </c>
      <c r="K18" s="193">
        <f>('Oper.St.'!L46*(100%-Sensitivity!$B$7))*(100%+$B$12)</f>
        <v>0</v>
      </c>
      <c r="L18" s="193">
        <f>('Oper.St.'!M46*(100%-Sensitivity!$B$7))*(100%+$B$12)</f>
        <v>0</v>
      </c>
      <c r="M18" s="193">
        <f>('Oper.St.'!N46*(100%-Sensitivity!$B$7))*(100%+$B$12)</f>
        <v>0</v>
      </c>
      <c r="N18" s="193">
        <f>('Oper.St.'!O46*(100%-Sensitivity!$B$7))*(100%+$B$12)</f>
        <v>0</v>
      </c>
      <c r="O18" s="193">
        <f>('Oper.St.'!P46*(100%-Sensitivity!$B$7))*(100%+$B$12)</f>
        <v>0</v>
      </c>
      <c r="P18" s="193">
        <f>('Oper.St.'!Q46*(100%-Sensitivity!$B$7))*(100%+$B$12)</f>
        <v>0</v>
      </c>
      <c r="Q18" s="193">
        <f>('Oper.St.'!R46*(100%-Sensitivity!$B$7))*(100%+$B$12)</f>
        <v>0</v>
      </c>
      <c r="R18" s="193">
        <f>('Oper.St.'!S46*(100%-Sensitivity!$B$7))*(100%+$B$12)</f>
        <v>0</v>
      </c>
      <c r="S18" s="193">
        <f>('Oper.St.'!T46*(100%-Sensitivity!$B$7))*(100%+$B$12)</f>
        <v>0</v>
      </c>
      <c r="T18" s="193">
        <f>('Oper.St.'!U46*(100%-Sensitivity!$B$7))*(100%+$B$12)</f>
        <v>0</v>
      </c>
      <c r="U18" s="193">
        <f>('Oper.St.'!V46*(100%-Sensitivity!$B$7))*(100%+$B$12)</f>
        <v>0</v>
      </c>
      <c r="V18" s="674"/>
    </row>
    <row r="19" spans="1:22" x14ac:dyDescent="0.25">
      <c r="A19" s="66" t="s">
        <v>1011</v>
      </c>
      <c r="B19" s="193">
        <f>('Oper.St.'!C67*(100%-Sensitivity!$B$8))*(100%+$B$12)</f>
        <v>0.67</v>
      </c>
      <c r="C19" s="193">
        <f>('Oper.St.'!D67*(100%-Sensitivity!$B$8))*(100%+$B$12)</f>
        <v>0.9</v>
      </c>
      <c r="D19" s="193">
        <f>('Oper.St.'!E67*(100%-Sensitivity!$B$8))*(100%+$B$12)</f>
        <v>1.75</v>
      </c>
      <c r="E19" s="193">
        <f>('Oper.St.'!F67*(100%-Sensitivity!$B$8))*(100%+$B$12)</f>
        <v>3.2</v>
      </c>
      <c r="F19" s="193">
        <f>('Oper.St.'!G67*(100%-Sensitivity!$B$8))*(100%+$B$12)</f>
        <v>6.41</v>
      </c>
      <c r="G19" s="193">
        <f>('Oper.St.'!H67*(100%-Sensitivity!$B$8))*(100%+$B$12)</f>
        <v>8.5200000000000014</v>
      </c>
      <c r="H19" s="193">
        <f>('Oper.St.'!I67*(100%-Sensitivity!$B$8))*(100%+$B$12)</f>
        <v>9.75</v>
      </c>
      <c r="I19" s="193">
        <f>('Oper.St.'!J67*(100%-Sensitivity!$B$8))*(100%+$B$12)</f>
        <v>10.850000000000001</v>
      </c>
      <c r="J19" s="193">
        <f>('Oper.St.'!K67*(100%-Sensitivity!$B$8))*(100%+$B$12)</f>
        <v>12.120000000000001</v>
      </c>
      <c r="K19" s="193">
        <f>('Oper.St.'!L67*(100%-Sensitivity!$B$8))*(100%+$B$12)</f>
        <v>13.59</v>
      </c>
      <c r="L19" s="193">
        <f>('Oper.St.'!M67*(100%-Sensitivity!$B$8))*(100%+$B$12)</f>
        <v>15.15</v>
      </c>
      <c r="M19" s="193">
        <f>('Oper.St.'!N67*(100%-Sensitivity!$B$8))*(100%+$B$12)</f>
        <v>0</v>
      </c>
      <c r="N19" s="193">
        <f>('Oper.St.'!O67*(100%-Sensitivity!$B$8))*(100%+$B$12)</f>
        <v>0</v>
      </c>
      <c r="O19" s="193">
        <f>('Oper.St.'!P67*(100%-Sensitivity!$B$8))*(100%+$B$12)</f>
        <v>0</v>
      </c>
      <c r="P19" s="193">
        <f>('Oper.St.'!Q67*(100%-Sensitivity!$B$8))*(100%+$B$12)</f>
        <v>0</v>
      </c>
      <c r="Q19" s="193">
        <f>('Oper.St.'!R67*(100%-Sensitivity!$B$8))*(100%+$B$12)</f>
        <v>0</v>
      </c>
      <c r="R19" s="193">
        <f>('Oper.St.'!S67*(100%-Sensitivity!$B$8))*(100%+$B$12)</f>
        <v>0</v>
      </c>
      <c r="S19" s="193">
        <f>('Oper.St.'!T67*(100%-Sensitivity!$B$8))*(100%+$B$12)</f>
        <v>0</v>
      </c>
      <c r="T19" s="193">
        <f>('Oper.St.'!U67*(100%-Sensitivity!$B$8))*(100%+$B$12)</f>
        <v>0</v>
      </c>
      <c r="U19" s="193">
        <f>('Oper.St.'!V67*(100%-Sensitivity!$B$8))*(100%+$B$12)</f>
        <v>0</v>
      </c>
      <c r="V19" s="674"/>
    </row>
    <row r="20" spans="1:22" x14ac:dyDescent="0.25">
      <c r="A20" s="66" t="s">
        <v>1000</v>
      </c>
      <c r="B20" s="193">
        <f>('Oper.St.'!C73-B30)*(100%+$B$12)</f>
        <v>0</v>
      </c>
      <c r="C20" s="193">
        <f>('Oper.St.'!D73-C30)*(100%+$B$12)</f>
        <v>0</v>
      </c>
      <c r="D20" s="193">
        <f>('Oper.St.'!E73-D30)*(100%+$B$12)</f>
        <v>0.05</v>
      </c>
      <c r="E20" s="193">
        <f>('Oper.St.'!F73-E30)*(100%+$B$12)</f>
        <v>0.47</v>
      </c>
      <c r="F20" s="193">
        <f>('Oper.St.'!G73-F30)*(100%+$B$12)</f>
        <v>0.91</v>
      </c>
      <c r="G20" s="193">
        <f>('Oper.St.'!H73-G30)*(100%+$B$12)</f>
        <v>0.23899999999999999</v>
      </c>
      <c r="H20" s="193">
        <f>('Oper.St.'!I73-H30)*(100%+$B$12)</f>
        <v>0.15900000000000003</v>
      </c>
      <c r="I20" s="193">
        <f>('Oper.St.'!J73-I30)*(100%+$B$12)</f>
        <v>0.15900000000000003</v>
      </c>
      <c r="J20" s="193">
        <f>('Oper.St.'!K73-J30)*(100%+$B$12)</f>
        <v>0.15900000000000003</v>
      </c>
      <c r="K20" s="193">
        <f>('Oper.St.'!L73-K30)*(100%+$B$12)</f>
        <v>0.15899999999999997</v>
      </c>
      <c r="L20" s="193">
        <f>('Oper.St.'!M73-L30)*(100%+$B$12)</f>
        <v>0.15900000000000006</v>
      </c>
      <c r="M20" s="193">
        <f>('Oper.St.'!N73-M30)*(100%+$B$12)</f>
        <v>0</v>
      </c>
      <c r="N20" s="193">
        <f>('Oper.St.'!O73-N30)*(100%+$B$12)</f>
        <v>0</v>
      </c>
      <c r="O20" s="193">
        <f>('Oper.St.'!P73-O30)*(100%+$B$12)</f>
        <v>0</v>
      </c>
      <c r="P20" s="193">
        <f>('Oper.St.'!Q73-P30)*(100%+$B$12)</f>
        <v>0</v>
      </c>
      <c r="Q20" s="193">
        <f>('Oper.St.'!R73-Q30)*(100%+$B$12)</f>
        <v>0</v>
      </c>
      <c r="R20" s="193">
        <f>('Oper.St.'!S73-R30)*(100%+$B$12)</f>
        <v>0</v>
      </c>
      <c r="S20" s="193">
        <f>('Oper.St.'!T73-S30)*(100%+$B$12)</f>
        <v>0</v>
      </c>
      <c r="T20" s="193">
        <f>('Oper.St.'!U73-T30)*(100%+$B$12)</f>
        <v>0</v>
      </c>
      <c r="U20" s="193">
        <f>('Oper.St.'!V73-U30)*(100%+$B$12)</f>
        <v>0</v>
      </c>
      <c r="V20" s="674">
        <f>SUM(B20:U20)</f>
        <v>2.464</v>
      </c>
    </row>
    <row r="21" spans="1:22" s="83" customFormat="1" x14ac:dyDescent="0.25">
      <c r="A21" s="85" t="s">
        <v>309</v>
      </c>
      <c r="B21" s="69">
        <f>SUM(B13:B20)</f>
        <v>0.67</v>
      </c>
      <c r="C21" s="69">
        <f>SUM(C13:C20)</f>
        <v>0.9</v>
      </c>
      <c r="D21" s="69">
        <f t="shared" ref="D21:U21" si="0">SUM(D13:D20)</f>
        <v>1.8</v>
      </c>
      <c r="E21" s="69">
        <f t="shared" si="0"/>
        <v>3.67</v>
      </c>
      <c r="F21" s="69">
        <f t="shared" si="0"/>
        <v>19.61</v>
      </c>
      <c r="G21" s="69">
        <f t="shared" si="0"/>
        <v>29.759000000000004</v>
      </c>
      <c r="H21" s="69">
        <f t="shared" si="0"/>
        <v>36.509</v>
      </c>
      <c r="I21" s="69">
        <f t="shared" si="0"/>
        <v>39.408999999999999</v>
      </c>
      <c r="J21" s="69">
        <f t="shared" si="0"/>
        <v>43.419000000000004</v>
      </c>
      <c r="K21" s="69">
        <f t="shared" si="0"/>
        <v>47.339000000000006</v>
      </c>
      <c r="L21" s="69">
        <f t="shared" si="0"/>
        <v>51.238999999999997</v>
      </c>
      <c r="M21" s="69">
        <f t="shared" si="0"/>
        <v>0</v>
      </c>
      <c r="N21" s="69">
        <f t="shared" si="0"/>
        <v>0</v>
      </c>
      <c r="O21" s="69">
        <f t="shared" si="0"/>
        <v>0</v>
      </c>
      <c r="P21" s="69">
        <f t="shared" si="0"/>
        <v>0</v>
      </c>
      <c r="Q21" s="69">
        <f t="shared" si="0"/>
        <v>0</v>
      </c>
      <c r="R21" s="69">
        <f t="shared" si="0"/>
        <v>0</v>
      </c>
      <c r="S21" s="69">
        <f t="shared" si="0"/>
        <v>0</v>
      </c>
      <c r="T21" s="69">
        <f t="shared" si="0"/>
        <v>0</v>
      </c>
      <c r="U21" s="69">
        <f t="shared" si="0"/>
        <v>0</v>
      </c>
      <c r="V21" s="674"/>
    </row>
    <row r="22" spans="1:22" ht="35.25" customHeight="1" x14ac:dyDescent="0.25">
      <c r="A22" s="1113"/>
      <c r="B22" s="1114"/>
      <c r="C22" s="1114"/>
      <c r="D22" s="1114"/>
      <c r="E22" s="1114"/>
      <c r="F22" s="1114"/>
      <c r="G22" s="1114"/>
      <c r="H22" s="1114"/>
      <c r="I22" s="1114"/>
      <c r="J22" s="1114"/>
      <c r="K22" s="1114"/>
      <c r="L22" s="1114"/>
      <c r="M22" s="1114"/>
      <c r="N22" s="1114"/>
      <c r="O22" s="1114"/>
      <c r="P22" s="1114"/>
      <c r="Q22" s="1114"/>
      <c r="R22" s="1114"/>
      <c r="S22" s="1114"/>
      <c r="T22" s="1114"/>
      <c r="U22" s="1115"/>
      <c r="V22" s="674"/>
    </row>
    <row r="23" spans="1:22" s="83" customFormat="1" x14ac:dyDescent="0.25">
      <c r="A23" s="85" t="s">
        <v>310</v>
      </c>
      <c r="B23" s="69">
        <f>B11-B21</f>
        <v>0.13</v>
      </c>
      <c r="C23" s="69">
        <f>C11-C21</f>
        <v>0.15000000000000002</v>
      </c>
      <c r="D23" s="69">
        <f t="shared" ref="D23:U23" si="1">D11-D21</f>
        <v>0.40000000000000013</v>
      </c>
      <c r="E23" s="69">
        <f t="shared" si="1"/>
        <v>0.33000000000000007</v>
      </c>
      <c r="F23" s="69">
        <f t="shared" si="1"/>
        <v>2.3900000000000006</v>
      </c>
      <c r="G23" s="69">
        <f t="shared" si="1"/>
        <v>5.1209999999999987</v>
      </c>
      <c r="H23" s="69">
        <f t="shared" si="1"/>
        <v>5.3109999999999999</v>
      </c>
      <c r="I23" s="69">
        <f t="shared" si="1"/>
        <v>5.1810000000000045</v>
      </c>
      <c r="J23" s="69">
        <f t="shared" si="1"/>
        <v>5.0409999999999968</v>
      </c>
      <c r="K23" s="69">
        <f t="shared" si="1"/>
        <v>4.9409999999999954</v>
      </c>
      <c r="L23" s="69">
        <f t="shared" si="1"/>
        <v>5.0110000000000028</v>
      </c>
      <c r="M23" s="69">
        <f t="shared" si="1"/>
        <v>0</v>
      </c>
      <c r="N23" s="69">
        <f t="shared" si="1"/>
        <v>0</v>
      </c>
      <c r="O23" s="69">
        <f t="shared" si="1"/>
        <v>0</v>
      </c>
      <c r="P23" s="69">
        <f t="shared" si="1"/>
        <v>0</v>
      </c>
      <c r="Q23" s="69">
        <f t="shared" si="1"/>
        <v>0</v>
      </c>
      <c r="R23" s="69">
        <f t="shared" si="1"/>
        <v>0</v>
      </c>
      <c r="S23" s="69">
        <f t="shared" si="1"/>
        <v>0</v>
      </c>
      <c r="T23" s="69">
        <f t="shared" si="1"/>
        <v>0</v>
      </c>
      <c r="U23" s="69">
        <f t="shared" si="1"/>
        <v>0</v>
      </c>
      <c r="V23" s="674"/>
    </row>
    <row r="24" spans="1:22" x14ac:dyDescent="0.25">
      <c r="A24" s="163" t="s">
        <v>600</v>
      </c>
      <c r="B24" s="191">
        <v>0</v>
      </c>
      <c r="C24" s="1125"/>
      <c r="D24" s="1126"/>
      <c r="E24" s="1126"/>
      <c r="F24" s="1126"/>
      <c r="G24" s="1126"/>
      <c r="H24" s="1126"/>
      <c r="I24" s="1126"/>
      <c r="J24" s="1126"/>
      <c r="K24" s="1126"/>
      <c r="L24" s="1126"/>
      <c r="M24" s="1126"/>
      <c r="N24" s="1126"/>
      <c r="O24" s="1126"/>
      <c r="P24" s="1126"/>
      <c r="Q24" s="1126"/>
      <c r="R24" s="1126"/>
      <c r="S24" s="1126"/>
      <c r="T24" s="1126"/>
      <c r="U24" s="1127"/>
      <c r="V24" s="674"/>
    </row>
    <row r="25" spans="1:22" x14ac:dyDescent="0.25">
      <c r="A25" s="66" t="s">
        <v>1016</v>
      </c>
      <c r="B25" s="193">
        <f>('Oper.St.'!C40*$B$5*(100%+$B$24))</f>
        <v>0</v>
      </c>
      <c r="C25" s="193">
        <f>('Oper.St.'!D40*$B$5*(100%+$B$24))</f>
        <v>0</v>
      </c>
      <c r="D25" s="193">
        <f>('Oper.St.'!E40*$B$5*(100%+$B$24))</f>
        <v>0</v>
      </c>
      <c r="E25" s="193">
        <f>('Oper.St.'!F40*$B$5*(100%+$B$24))</f>
        <v>0</v>
      </c>
      <c r="F25" s="193">
        <f>('Oper.St.'!G40*$B$5*(100%+$B$24))</f>
        <v>0</v>
      </c>
      <c r="G25" s="193">
        <f>('Oper.St.'!H40*$B$5*(100%+$B$24))</f>
        <v>0</v>
      </c>
      <c r="H25" s="193">
        <f>('Oper.St.'!I40*$B$5*(100%+$B$24))</f>
        <v>0</v>
      </c>
      <c r="I25" s="193">
        <f>('Oper.St.'!J40*$B$5*(100%+$B$24))</f>
        <v>0</v>
      </c>
      <c r="J25" s="193">
        <f>('Oper.St.'!K40*$B$5*(100%+$B$24))</f>
        <v>0</v>
      </c>
      <c r="K25" s="193">
        <f>('Oper.St.'!L40*$B$5*(100%+$B$24))</f>
        <v>0</v>
      </c>
      <c r="L25" s="193">
        <f>('Oper.St.'!M40*$B$5*(100%+$B$24))</f>
        <v>0</v>
      </c>
      <c r="M25" s="193">
        <f>('Oper.St.'!N40*$B$5*(100%+$B$24))</f>
        <v>0</v>
      </c>
      <c r="N25" s="193">
        <f>('Oper.St.'!O40*$B$5*(100%+$B$24))</f>
        <v>0</v>
      </c>
      <c r="O25" s="193">
        <f>('Oper.St.'!P40*$B$5*(100%+$B$24))</f>
        <v>0</v>
      </c>
      <c r="P25" s="193">
        <f>('Oper.St.'!Q40*$B$5*(100%+$B$24))</f>
        <v>0</v>
      </c>
      <c r="Q25" s="193">
        <f>('Oper.St.'!R40*$B$5*(100%+$B$24))</f>
        <v>0</v>
      </c>
      <c r="R25" s="193">
        <f>('Oper.St.'!S40*$B$5*(100%+$B$24))</f>
        <v>0</v>
      </c>
      <c r="S25" s="193">
        <f>('Oper.St.'!T40*$B$5*(100%+$B$24))</f>
        <v>0</v>
      </c>
      <c r="T25" s="193">
        <f>('Oper.St.'!U40*$B$5*(100%+$B$24))</f>
        <v>0</v>
      </c>
      <c r="U25" s="193">
        <f>('Oper.St.'!V40*$B$5*(100%+$B$24))</f>
        <v>0</v>
      </c>
      <c r="V25" s="674"/>
    </row>
    <row r="26" spans="1:22" x14ac:dyDescent="0.25">
      <c r="A26" s="66" t="s">
        <v>1004</v>
      </c>
      <c r="B26" s="193">
        <f>('Oper.St.'!C42*$B$6*(100%+$B$24))</f>
        <v>0</v>
      </c>
      <c r="C26" s="193">
        <f>('Oper.St.'!D42*$B$6*(100%+$B$24))</f>
        <v>0</v>
      </c>
      <c r="D26" s="193">
        <f>('Oper.St.'!E42*$B$6*(100%+$B$24))</f>
        <v>0</v>
      </c>
      <c r="E26" s="193">
        <f>('Oper.St.'!F42*$B$6*(100%+$B$24))</f>
        <v>0</v>
      </c>
      <c r="F26" s="193">
        <f>('Oper.St.'!G42*$B$6*(100%+$B$24))</f>
        <v>0</v>
      </c>
      <c r="G26" s="193">
        <f>('Oper.St.'!H42*$B$6*(100%+$B$24))</f>
        <v>0</v>
      </c>
      <c r="H26" s="193">
        <f>('Oper.St.'!I42*$B$6*(100%+$B$24))</f>
        <v>0</v>
      </c>
      <c r="I26" s="193">
        <f>('Oper.St.'!J42*$B$6*(100%+$B$24))</f>
        <v>0</v>
      </c>
      <c r="J26" s="193">
        <f>('Oper.St.'!K42*$B$6*(100%+$B$24))</f>
        <v>0</v>
      </c>
      <c r="K26" s="193">
        <f>('Oper.St.'!L42*$B$6*(100%+$B$24))</f>
        <v>0</v>
      </c>
      <c r="L26" s="193">
        <f>('Oper.St.'!M42*$B$6*(100%+$B$24))</f>
        <v>0</v>
      </c>
      <c r="M26" s="193">
        <f>('Oper.St.'!N42*$B$6*(100%+$B$24))</f>
        <v>0</v>
      </c>
      <c r="N26" s="193">
        <f>('Oper.St.'!O42*$B$6*(100%+$B$24))</f>
        <v>0</v>
      </c>
      <c r="O26" s="193">
        <f>('Oper.St.'!P42*$B$6*(100%+$B$24))</f>
        <v>0</v>
      </c>
      <c r="P26" s="193">
        <f>('Oper.St.'!Q42*$B$6*(100%+$B$24))</f>
        <v>0</v>
      </c>
      <c r="Q26" s="193">
        <f>('Oper.St.'!R42*$B$6*(100%+$B$24))</f>
        <v>0</v>
      </c>
      <c r="R26" s="193">
        <f>('Oper.St.'!S42*$B$6*(100%+$B$24))</f>
        <v>0</v>
      </c>
      <c r="S26" s="193">
        <f>('Oper.St.'!T42*$B$6*(100%+$B$24))</f>
        <v>0</v>
      </c>
      <c r="T26" s="193">
        <f>('Oper.St.'!U42*$B$6*(100%+$B$24))</f>
        <v>0</v>
      </c>
      <c r="U26" s="193">
        <f>('Oper.St.'!V42*$B$6*(100%+$B$24))</f>
        <v>0</v>
      </c>
      <c r="V26" s="674"/>
    </row>
    <row r="27" spans="1:22" x14ac:dyDescent="0.25">
      <c r="A27" s="66" t="s">
        <v>1010</v>
      </c>
      <c r="B27" s="193">
        <f>('Oper.St.'!C46*$B$7*(100%+$B$24))</f>
        <v>0</v>
      </c>
      <c r="C27" s="193">
        <f>('Oper.St.'!D46*$B$7*(100%+$B$24))</f>
        <v>0</v>
      </c>
      <c r="D27" s="193">
        <f>('Oper.St.'!E46*$B$7*(100%+$B$24))</f>
        <v>0</v>
      </c>
      <c r="E27" s="193">
        <f>('Oper.St.'!F46*$B$7*(100%+$B$24))</f>
        <v>0</v>
      </c>
      <c r="F27" s="193">
        <f>('Oper.St.'!G46*$B$7*(100%+$B$24))</f>
        <v>0</v>
      </c>
      <c r="G27" s="193">
        <f>('Oper.St.'!H46*$B$7*(100%+$B$24))</f>
        <v>0</v>
      </c>
      <c r="H27" s="193">
        <f>('Oper.St.'!I46*$B$7*(100%+$B$24))</f>
        <v>0</v>
      </c>
      <c r="I27" s="193">
        <f>('Oper.St.'!J46*$B$7*(100%+$B$24))</f>
        <v>0</v>
      </c>
      <c r="J27" s="193">
        <f>('Oper.St.'!K46*$B$7*(100%+$B$24))</f>
        <v>0</v>
      </c>
      <c r="K27" s="193">
        <f>('Oper.St.'!L46*$B$7*(100%+$B$24))</f>
        <v>0</v>
      </c>
      <c r="L27" s="193">
        <f>('Oper.St.'!M46*$B$7*(100%+$B$24))</f>
        <v>0</v>
      </c>
      <c r="M27" s="193">
        <f>('Oper.St.'!N46*$B$7*(100%+$B$24))</f>
        <v>0</v>
      </c>
      <c r="N27" s="193">
        <f>('Oper.St.'!O46*$B$7*(100%+$B$24))</f>
        <v>0</v>
      </c>
      <c r="O27" s="193">
        <f>('Oper.St.'!P46*$B$7*(100%+$B$24))</f>
        <v>0</v>
      </c>
      <c r="P27" s="193">
        <f>('Oper.St.'!Q46*$B$7*(100%+$B$24))</f>
        <v>0</v>
      </c>
      <c r="Q27" s="193">
        <f>('Oper.St.'!R46*$B$7*(100%+$B$24))</f>
        <v>0</v>
      </c>
      <c r="R27" s="193">
        <f>('Oper.St.'!S46*$B$7*(100%+$B$24))</f>
        <v>0</v>
      </c>
      <c r="S27" s="193">
        <f>('Oper.St.'!T46*$B$7*(100%+$B$24))</f>
        <v>0</v>
      </c>
      <c r="T27" s="193">
        <f>('Oper.St.'!U46*$B$7*(100%+$B$24))</f>
        <v>0</v>
      </c>
      <c r="U27" s="193">
        <f>('Oper.St.'!V46*$B$7*(100%+$B$24))</f>
        <v>0</v>
      </c>
      <c r="V27" s="674"/>
    </row>
    <row r="28" spans="1:22" x14ac:dyDescent="0.25">
      <c r="A28" s="66" t="s">
        <v>1001</v>
      </c>
      <c r="B28" s="193">
        <f>('Oper.St.'!C47)*(100%+$B$24)</f>
        <v>0.03</v>
      </c>
      <c r="C28" s="193">
        <f>('Oper.St.'!D47)*(100%+$B$24)</f>
        <v>0.02</v>
      </c>
      <c r="D28" s="193">
        <f>('Oper.St.'!E47)*(100%+$B$24)</f>
        <v>0.02</v>
      </c>
      <c r="E28" s="193">
        <f>('Oper.St.'!F47)*(100%+$B$24)</f>
        <v>0.02</v>
      </c>
      <c r="F28" s="193">
        <f>('Oper.St.'!G47)*(100%+$B$24)</f>
        <v>1.57</v>
      </c>
      <c r="G28" s="193">
        <f>('Oper.St.'!H47)*(100%+$B$24)</f>
        <v>2.48</v>
      </c>
      <c r="H28" s="193">
        <f>('Oper.St.'!I47)*(100%+$B$24)</f>
        <v>2.16</v>
      </c>
      <c r="I28" s="193">
        <f>('Oper.St.'!J47)*(100%+$B$24)</f>
        <v>1.88</v>
      </c>
      <c r="J28" s="193">
        <f>('Oper.St.'!K47)*(100%+$B$24)</f>
        <v>1.64</v>
      </c>
      <c r="K28" s="193">
        <f>('Oper.St.'!L47)*(100%+$B$24)</f>
        <v>1.43</v>
      </c>
      <c r="L28" s="193">
        <f>('Oper.St.'!M47)*(100%+$B$24)</f>
        <v>1.24</v>
      </c>
      <c r="M28" s="193">
        <f>('Oper.St.'!N47)*(100%+$B$24)</f>
        <v>0</v>
      </c>
      <c r="N28" s="193">
        <f>('Oper.St.'!O47)*(100%+$B$24)</f>
        <v>0</v>
      </c>
      <c r="O28" s="193">
        <f>('Oper.St.'!P47)*(100%+$B$24)</f>
        <v>0</v>
      </c>
      <c r="P28" s="193">
        <f>('Oper.St.'!Q47)*(100%+$B$24)</f>
        <v>0</v>
      </c>
      <c r="Q28" s="193">
        <f>('Oper.St.'!R47)*(100%+$B$24)</f>
        <v>0</v>
      </c>
      <c r="R28" s="193">
        <f>('Oper.St.'!S47)*(100%+$B$24)</f>
        <v>0</v>
      </c>
      <c r="S28" s="193">
        <f>('Oper.St.'!T47)*(100%+$B$24)</f>
        <v>0</v>
      </c>
      <c r="T28" s="193">
        <f>('Oper.St.'!U47)*(100%+$B$24)</f>
        <v>0</v>
      </c>
      <c r="U28" s="193">
        <f>('Oper.St.'!V47)*(100%+$B$24)</f>
        <v>0</v>
      </c>
      <c r="V28" s="674"/>
    </row>
    <row r="29" spans="1:22" x14ac:dyDescent="0.25">
      <c r="A29" s="66" t="s">
        <v>1012</v>
      </c>
      <c r="B29" s="193">
        <f>('Oper.St.'!C67*$B$8*(100%+$B$24))</f>
        <v>0</v>
      </c>
      <c r="C29" s="193">
        <f>('Oper.St.'!D67*$B$8*(100%+$B$24))</f>
        <v>0</v>
      </c>
      <c r="D29" s="193">
        <f>('Oper.St.'!E67*$B$8*(100%+$B$24))</f>
        <v>0</v>
      </c>
      <c r="E29" s="193">
        <f>('Oper.St.'!F67*$B$8*(100%+$B$24))</f>
        <v>0</v>
      </c>
      <c r="F29" s="193">
        <f>('Oper.St.'!G67*$B$8*(100%+$B$24))</f>
        <v>0</v>
      </c>
      <c r="G29" s="193">
        <f>('Oper.St.'!H67*$B$8*(100%+$B$24))</f>
        <v>0</v>
      </c>
      <c r="H29" s="193">
        <f>('Oper.St.'!I67*$B$8*(100%+$B$24))</f>
        <v>0</v>
      </c>
      <c r="I29" s="193">
        <f>('Oper.St.'!J67*$B$8*(100%+$B$24))</f>
        <v>0</v>
      </c>
      <c r="J29" s="193">
        <f>('Oper.St.'!K67*$B$8*(100%+$B$24))</f>
        <v>0</v>
      </c>
      <c r="K29" s="193">
        <f>('Oper.St.'!L67*$B$8*(100%+$B$24))</f>
        <v>0</v>
      </c>
      <c r="L29" s="193">
        <f>('Oper.St.'!M67*$B$8*(100%+$B$24))</f>
        <v>0</v>
      </c>
      <c r="M29" s="193">
        <f>('Oper.St.'!N67*$B$8*(100%+$B$24))</f>
        <v>0</v>
      </c>
      <c r="N29" s="193">
        <f>('Oper.St.'!O67*$B$8*(100%+$B$24))</f>
        <v>0</v>
      </c>
      <c r="O29" s="193">
        <f>('Oper.St.'!P67*$B$8*(100%+$B$24))</f>
        <v>0</v>
      </c>
      <c r="P29" s="193">
        <f>('Oper.St.'!Q67*$B$8*(100%+$B$24))</f>
        <v>0</v>
      </c>
      <c r="Q29" s="193">
        <f>('Oper.St.'!R67*$B$8*(100%+$B$24))</f>
        <v>0</v>
      </c>
      <c r="R29" s="193">
        <f>('Oper.St.'!S67*$B$8*(100%+$B$24))</f>
        <v>0</v>
      </c>
      <c r="S29" s="193">
        <f>('Oper.St.'!T67*$B$8*(100%+$B$24))</f>
        <v>0</v>
      </c>
      <c r="T29" s="193">
        <f>('Oper.St.'!U67*$B$8*(100%+$B$24))</f>
        <v>0</v>
      </c>
      <c r="U29" s="193">
        <f>('Oper.St.'!V67*$B$8*(100%+$B$24))</f>
        <v>0</v>
      </c>
      <c r="V29" s="674"/>
    </row>
    <row r="30" spans="1:22" x14ac:dyDescent="0.25">
      <c r="A30" s="66" t="s">
        <v>1002</v>
      </c>
      <c r="B30" s="193">
        <f>IF(ISERROR(DSCR!B13*(100%+$B$24)),0,DSCR!B13*(100%+$B$24))</f>
        <v>0</v>
      </c>
      <c r="C30" s="193">
        <f>IF(ISERROR(DSCR!C13*(100%+$B$24)),0,DSCR!C13*(100%+$B$24))</f>
        <v>0</v>
      </c>
      <c r="D30" s="193">
        <f>IF(ISERROR(DSCR!D13*(100%+$B$24)),0,DSCR!D13*(100%+$B$24))</f>
        <v>0</v>
      </c>
      <c r="E30" s="193">
        <f>IF(ISERROR(DSCR!E13*(100%+$B$24)),0,DSCR!E13*(100%+$B$24))</f>
        <v>0</v>
      </c>
      <c r="F30" s="193">
        <f>IF(ISERROR(DSCR!F13*(100%+$B$24)),0,DSCR!F13*(100%+$B$24))</f>
        <v>0</v>
      </c>
      <c r="G30" s="193">
        <f>IF(ISERROR(DSCR!G13*(100%+$B$24)),0,DSCR!G13*(100%+$B$24))</f>
        <v>0.91027500000000028</v>
      </c>
      <c r="H30" s="193">
        <f>IF(ISERROR(DSCR!H13*(100%+$B$24)),0,DSCR!H13*(100%+$B$24))</f>
        <v>0.80613000000000079</v>
      </c>
      <c r="I30" s="193">
        <f>IF(ISERROR(DSCR!I13*(100%+$B$24)),0,DSCR!I13*(100%+$B$24))</f>
        <v>0.67853250000000098</v>
      </c>
      <c r="J30" s="193">
        <f>IF(ISERROR(DSCR!J13*(100%+$B$24)),0,DSCR!J13*(100%+$B$24))</f>
        <v>0.52231500000000097</v>
      </c>
      <c r="K30" s="193">
        <f>IF(ISERROR(DSCR!K13*(100%+$B$24)),0,DSCR!K13*(100%+$B$24))</f>
        <v>0.34185000000000093</v>
      </c>
      <c r="L30" s="193">
        <f>IF(ISERROR(DSCR!L13*(100%+$B$24)),0,DSCR!L13*(100%+$B$24))</f>
        <v>0.12918750000000087</v>
      </c>
      <c r="M30" s="193">
        <f>IF(ISERROR(DSCR!M13*(100%+$B$24)),0,DSCR!M13*(100%+$B$24))</f>
        <v>0</v>
      </c>
      <c r="N30" s="193">
        <f>IF(ISERROR(DSCR!N13*(100%+$B$24)),0,DSCR!N13*(100%+$B$24))</f>
        <v>0</v>
      </c>
      <c r="O30" s="193">
        <f>IF(ISERROR(DSCR!O13*(100%+$B$24)),0,DSCR!O13*(100%+$B$24))</f>
        <v>0</v>
      </c>
      <c r="P30" s="193">
        <f>IF(ISERROR(DSCR!P13*(100%+$B$24)),0,DSCR!P13*(100%+$B$24))</f>
        <v>0</v>
      </c>
      <c r="Q30" s="193">
        <f>IF(ISERROR(DSCR!Q13*(100%+$B$24)),0,DSCR!Q13*(100%+$B$24))</f>
        <v>0</v>
      </c>
      <c r="R30" s="193">
        <f>IF(ISERROR(DSCR!R13*(100%+$B$24)),0,DSCR!R13*(100%+$B$24))</f>
        <v>0</v>
      </c>
      <c r="S30" s="193">
        <f>IF(ISERROR(DSCR!S13*(100%+$B$24)),0,DSCR!S13*(100%+$B$24))</f>
        <v>0</v>
      </c>
      <c r="T30" s="193">
        <f>IF(ISERROR(DSCR!T13*(100%+$B$24)),0,DSCR!T13*(100%+$B$24))</f>
        <v>0</v>
      </c>
      <c r="U30" s="193">
        <f>IF(ISERROR(DSCR!U13*(100%+$B$24)),0,DSCR!U13*(100%+$B$24))</f>
        <v>0</v>
      </c>
      <c r="V30" s="674">
        <f>SUM(B30:U30)</f>
        <v>3.3882900000000045</v>
      </c>
    </row>
    <row r="31" spans="1:22" s="83" customFormat="1" ht="17.25" customHeight="1" x14ac:dyDescent="0.25">
      <c r="A31" s="85" t="s">
        <v>242</v>
      </c>
      <c r="B31" s="69">
        <f>SUM(B25:B30)</f>
        <v>0.03</v>
      </c>
      <c r="C31" s="69">
        <f>SUM(C25:C30)</f>
        <v>0.02</v>
      </c>
      <c r="D31" s="69">
        <f t="shared" ref="D31:U31" si="2">SUM(D25:D30)</f>
        <v>0.02</v>
      </c>
      <c r="E31" s="69">
        <f t="shared" si="2"/>
        <v>0.02</v>
      </c>
      <c r="F31" s="69">
        <f t="shared" si="2"/>
        <v>1.57</v>
      </c>
      <c r="G31" s="69">
        <f t="shared" si="2"/>
        <v>3.3902750000000004</v>
      </c>
      <c r="H31" s="69">
        <f t="shared" si="2"/>
        <v>2.966130000000001</v>
      </c>
      <c r="I31" s="69">
        <f t="shared" si="2"/>
        <v>2.558532500000001</v>
      </c>
      <c r="J31" s="69">
        <f t="shared" si="2"/>
        <v>2.1623150000000009</v>
      </c>
      <c r="K31" s="69">
        <f t="shared" si="2"/>
        <v>1.7718500000000008</v>
      </c>
      <c r="L31" s="69">
        <f t="shared" si="2"/>
        <v>1.3691875000000009</v>
      </c>
      <c r="M31" s="69">
        <f t="shared" si="2"/>
        <v>0</v>
      </c>
      <c r="N31" s="69">
        <f t="shared" si="2"/>
        <v>0</v>
      </c>
      <c r="O31" s="69">
        <f t="shared" si="2"/>
        <v>0</v>
      </c>
      <c r="P31" s="69">
        <f t="shared" si="2"/>
        <v>0</v>
      </c>
      <c r="Q31" s="69">
        <f t="shared" si="2"/>
        <v>0</v>
      </c>
      <c r="R31" s="69">
        <f t="shared" si="2"/>
        <v>0</v>
      </c>
      <c r="S31" s="69">
        <f t="shared" si="2"/>
        <v>0</v>
      </c>
      <c r="T31" s="69">
        <f t="shared" si="2"/>
        <v>0</v>
      </c>
      <c r="U31" s="69">
        <f t="shared" si="2"/>
        <v>0</v>
      </c>
      <c r="V31" s="674"/>
    </row>
    <row r="32" spans="1:22" x14ac:dyDescent="0.25">
      <c r="A32" s="87"/>
      <c r="B32" s="193"/>
      <c r="C32" s="193"/>
      <c r="D32" s="193"/>
      <c r="E32" s="193"/>
      <c r="F32" s="193"/>
      <c r="G32" s="193"/>
      <c r="H32" s="193"/>
      <c r="I32" s="193"/>
      <c r="J32" s="193"/>
      <c r="K32" s="193"/>
      <c r="L32" s="193"/>
      <c r="M32" s="193"/>
      <c r="N32" s="193"/>
      <c r="O32" s="193"/>
      <c r="P32" s="193"/>
      <c r="Q32" s="193"/>
      <c r="R32" s="193"/>
      <c r="S32" s="193"/>
      <c r="T32" s="193"/>
      <c r="U32" s="193"/>
      <c r="V32" s="674"/>
    </row>
    <row r="33" spans="1:22" s="83" customFormat="1" x14ac:dyDescent="0.25">
      <c r="A33" s="85" t="s">
        <v>0</v>
      </c>
      <c r="B33" s="69">
        <f>B23-B31</f>
        <v>0.1</v>
      </c>
      <c r="C33" s="69">
        <f>C23-C31</f>
        <v>0.13000000000000003</v>
      </c>
      <c r="D33" s="69">
        <f t="shared" ref="D33:U33" si="3">D23-D31</f>
        <v>0.38000000000000012</v>
      </c>
      <c r="E33" s="69">
        <f t="shared" si="3"/>
        <v>0.31000000000000005</v>
      </c>
      <c r="F33" s="69">
        <f t="shared" si="3"/>
        <v>0.82000000000000051</v>
      </c>
      <c r="G33" s="69">
        <f t="shared" si="3"/>
        <v>1.7307249999999983</v>
      </c>
      <c r="H33" s="69">
        <f t="shared" si="3"/>
        <v>2.3448699999999989</v>
      </c>
      <c r="I33" s="69">
        <f t="shared" si="3"/>
        <v>2.6224675000000035</v>
      </c>
      <c r="J33" s="69">
        <f t="shared" si="3"/>
        <v>2.8786849999999959</v>
      </c>
      <c r="K33" s="69">
        <f t="shared" si="3"/>
        <v>3.1691499999999948</v>
      </c>
      <c r="L33" s="69">
        <f t="shared" si="3"/>
        <v>3.6418125000000021</v>
      </c>
      <c r="M33" s="69">
        <f t="shared" si="3"/>
        <v>0</v>
      </c>
      <c r="N33" s="69">
        <f t="shared" si="3"/>
        <v>0</v>
      </c>
      <c r="O33" s="69">
        <f t="shared" si="3"/>
        <v>0</v>
      </c>
      <c r="P33" s="69">
        <f t="shared" si="3"/>
        <v>0</v>
      </c>
      <c r="Q33" s="69">
        <f t="shared" si="3"/>
        <v>0</v>
      </c>
      <c r="R33" s="69">
        <f t="shared" si="3"/>
        <v>0</v>
      </c>
      <c r="S33" s="69">
        <f t="shared" si="3"/>
        <v>0</v>
      </c>
      <c r="T33" s="69">
        <f t="shared" si="3"/>
        <v>0</v>
      </c>
      <c r="U33" s="69">
        <f t="shared" si="3"/>
        <v>0</v>
      </c>
      <c r="V33" s="674"/>
    </row>
    <row r="34" spans="1:22" x14ac:dyDescent="0.25">
      <c r="A34" s="1128" t="s">
        <v>867</v>
      </c>
      <c r="B34" s="1129"/>
      <c r="C34" s="1129"/>
      <c r="D34" s="1129"/>
      <c r="E34" s="1129"/>
      <c r="F34" s="1129"/>
      <c r="G34" s="1129"/>
      <c r="H34" s="1129"/>
      <c r="I34" s="1129"/>
      <c r="J34" s="1129"/>
      <c r="K34" s="1129"/>
      <c r="L34" s="1129"/>
      <c r="M34" s="1129"/>
      <c r="N34" s="1129"/>
      <c r="O34" s="1129"/>
      <c r="P34" s="1129"/>
      <c r="Q34" s="1129"/>
      <c r="R34" s="1129"/>
      <c r="S34" s="1129"/>
      <c r="T34" s="1129"/>
      <c r="U34" s="1129"/>
      <c r="V34" s="1129"/>
    </row>
    <row r="35" spans="1:22" x14ac:dyDescent="0.25">
      <c r="A35" s="1001" t="s">
        <v>814</v>
      </c>
      <c r="B35" s="673"/>
      <c r="C35" s="673"/>
      <c r="D35" s="582"/>
      <c r="E35" s="582"/>
      <c r="F35" s="582"/>
      <c r="G35" s="582"/>
      <c r="H35" s="582"/>
      <c r="I35" s="582"/>
      <c r="J35" s="582"/>
      <c r="K35" s="582"/>
      <c r="L35" s="673"/>
      <c r="M35" s="673"/>
      <c r="N35" s="673"/>
      <c r="O35" s="673"/>
      <c r="P35" s="673"/>
      <c r="Q35" s="673"/>
      <c r="R35" s="673"/>
      <c r="S35" s="673"/>
      <c r="T35" s="673"/>
      <c r="U35" s="673"/>
      <c r="V35" s="674"/>
    </row>
    <row r="36" spans="1:22" s="83" customFormat="1" ht="14.25" customHeight="1" x14ac:dyDescent="0.25">
      <c r="A36" s="1002" t="s">
        <v>679</v>
      </c>
      <c r="B36" s="1116"/>
      <c r="C36" s="1117"/>
      <c r="D36" s="1117"/>
      <c r="E36" s="1117"/>
      <c r="F36" s="1117"/>
      <c r="G36" s="1117"/>
      <c r="H36" s="1117"/>
      <c r="I36" s="1117"/>
      <c r="J36" s="1117"/>
      <c r="K36" s="1117"/>
      <c r="L36" s="1117"/>
      <c r="M36" s="1117"/>
      <c r="N36" s="1117"/>
      <c r="O36" s="1117"/>
      <c r="P36" s="1117"/>
      <c r="Q36" s="1117"/>
      <c r="R36" s="1117"/>
      <c r="S36" s="1117"/>
      <c r="T36" s="1117"/>
      <c r="U36" s="1118"/>
      <c r="V36" s="674"/>
    </row>
    <row r="37" spans="1:22" x14ac:dyDescent="0.25">
      <c r="A37" s="671" t="s">
        <v>678</v>
      </c>
      <c r="B37" s="80">
        <f>B2</f>
        <v>2020</v>
      </c>
      <c r="C37" s="80">
        <f t="shared" ref="C37:U37" si="4">C2</f>
        <v>2021</v>
      </c>
      <c r="D37" s="80">
        <f t="shared" si="4"/>
        <v>2022</v>
      </c>
      <c r="E37" s="80">
        <f t="shared" si="4"/>
        <v>2023</v>
      </c>
      <c r="F37" s="80">
        <f t="shared" si="4"/>
        <v>2024</v>
      </c>
      <c r="G37" s="80">
        <f t="shared" si="4"/>
        <v>2025</v>
      </c>
      <c r="H37" s="80">
        <f t="shared" si="4"/>
        <v>2026</v>
      </c>
      <c r="I37" s="80">
        <f t="shared" si="4"/>
        <v>2027</v>
      </c>
      <c r="J37" s="80">
        <f t="shared" si="4"/>
        <v>2028</v>
      </c>
      <c r="K37" s="80">
        <f t="shared" si="4"/>
        <v>2029</v>
      </c>
      <c r="L37" s="80">
        <f t="shared" si="4"/>
        <v>2030</v>
      </c>
      <c r="M37" s="80">
        <f t="shared" si="4"/>
        <v>2031</v>
      </c>
      <c r="N37" s="80">
        <f t="shared" si="4"/>
        <v>2032</v>
      </c>
      <c r="O37" s="80">
        <f t="shared" si="4"/>
        <v>2033</v>
      </c>
      <c r="P37" s="80">
        <f t="shared" si="4"/>
        <v>2034</v>
      </c>
      <c r="Q37" s="80">
        <f t="shared" si="4"/>
        <v>2035</v>
      </c>
      <c r="R37" s="80">
        <f t="shared" si="4"/>
        <v>2036</v>
      </c>
      <c r="S37" s="80">
        <f t="shared" si="4"/>
        <v>2037</v>
      </c>
      <c r="T37" s="80">
        <f t="shared" si="4"/>
        <v>2038</v>
      </c>
      <c r="U37" s="80">
        <f t="shared" si="4"/>
        <v>2039</v>
      </c>
      <c r="V37" s="674"/>
    </row>
    <row r="38" spans="1:22" s="83" customFormat="1" ht="15" customHeight="1" x14ac:dyDescent="0.25">
      <c r="A38" s="211" t="s">
        <v>815</v>
      </c>
      <c r="B38" s="67">
        <f t="shared" ref="B38:U38" si="5">IF(ISERROR(B31*B11/B23),"",B31*B11/B23)</f>
        <v>0.18461538461538463</v>
      </c>
      <c r="C38" s="67">
        <f t="shared" si="5"/>
        <v>0.13999999999999999</v>
      </c>
      <c r="D38" s="67">
        <f t="shared" si="5"/>
        <v>0.10999999999999997</v>
      </c>
      <c r="E38" s="67">
        <f t="shared" si="5"/>
        <v>0.24242424242424238</v>
      </c>
      <c r="F38" s="67">
        <f t="shared" si="5"/>
        <v>14.451882845188281</v>
      </c>
      <c r="G38" s="67">
        <f t="shared" si="5"/>
        <v>23.091738332356972</v>
      </c>
      <c r="H38" s="67">
        <f t="shared" si="5"/>
        <v>23.355969986819815</v>
      </c>
      <c r="I38" s="67">
        <f t="shared" si="5"/>
        <v>22.019873417293951</v>
      </c>
      <c r="J38" s="67">
        <f t="shared" si="5"/>
        <v>20.786705990874847</v>
      </c>
      <c r="K38" s="67">
        <f t="shared" si="5"/>
        <v>18.747686298320204</v>
      </c>
      <c r="L38" s="67">
        <f t="shared" si="5"/>
        <v>15.369546372979448</v>
      </c>
      <c r="M38" s="67" t="str">
        <f t="shared" si="5"/>
        <v/>
      </c>
      <c r="N38" s="67" t="str">
        <f t="shared" si="5"/>
        <v/>
      </c>
      <c r="O38" s="67" t="str">
        <f t="shared" si="5"/>
        <v/>
      </c>
      <c r="P38" s="67" t="str">
        <f t="shared" si="5"/>
        <v/>
      </c>
      <c r="Q38" s="67" t="str">
        <f t="shared" si="5"/>
        <v/>
      </c>
      <c r="R38" s="67" t="str">
        <f t="shared" si="5"/>
        <v/>
      </c>
      <c r="S38" s="67" t="str">
        <f t="shared" si="5"/>
        <v/>
      </c>
      <c r="T38" s="67" t="str">
        <f t="shared" si="5"/>
        <v/>
      </c>
      <c r="U38" s="67" t="str">
        <f t="shared" si="5"/>
        <v/>
      </c>
      <c r="V38" s="674"/>
    </row>
    <row r="39" spans="1:22" s="83" customFormat="1" ht="15" customHeight="1" x14ac:dyDescent="0.25">
      <c r="A39" s="211" t="s">
        <v>816</v>
      </c>
      <c r="B39" s="88">
        <f t="shared" ref="B39:U39" si="6">IF(ISERROR(B38/B11),"",B38/B11)</f>
        <v>0.23076923076923078</v>
      </c>
      <c r="C39" s="88">
        <f t="shared" si="6"/>
        <v>0.1333333333333333</v>
      </c>
      <c r="D39" s="88">
        <f t="shared" si="6"/>
        <v>4.9999999999999982E-2</v>
      </c>
      <c r="E39" s="88">
        <f t="shared" si="6"/>
        <v>6.0606060606060594E-2</v>
      </c>
      <c r="F39" s="88">
        <f t="shared" si="6"/>
        <v>0.65690376569037645</v>
      </c>
      <c r="G39" s="88">
        <f t="shared" si="6"/>
        <v>0.66203378246436262</v>
      </c>
      <c r="H39" s="88">
        <f t="shared" si="6"/>
        <v>0.55848804368292237</v>
      </c>
      <c r="I39" s="88">
        <f t="shared" si="6"/>
        <v>0.49382985910055954</v>
      </c>
      <c r="J39" s="88">
        <f t="shared" si="6"/>
        <v>0.42894564570521765</v>
      </c>
      <c r="K39" s="88">
        <f t="shared" si="6"/>
        <v>0.35860149767253641</v>
      </c>
      <c r="L39" s="88">
        <f t="shared" si="6"/>
        <v>0.27323637996407907</v>
      </c>
      <c r="M39" s="88" t="str">
        <f t="shared" si="6"/>
        <v/>
      </c>
      <c r="N39" s="88" t="str">
        <f t="shared" si="6"/>
        <v/>
      </c>
      <c r="O39" s="88" t="str">
        <f t="shared" si="6"/>
        <v/>
      </c>
      <c r="P39" s="88" t="str">
        <f t="shared" si="6"/>
        <v/>
      </c>
      <c r="Q39" s="88" t="str">
        <f t="shared" si="6"/>
        <v/>
      </c>
      <c r="R39" s="88" t="str">
        <f t="shared" si="6"/>
        <v/>
      </c>
      <c r="S39" s="88" t="str">
        <f t="shared" si="6"/>
        <v/>
      </c>
      <c r="T39" s="88" t="str">
        <f t="shared" si="6"/>
        <v/>
      </c>
      <c r="U39" s="88" t="str">
        <f t="shared" si="6"/>
        <v/>
      </c>
      <c r="V39" s="674"/>
    </row>
    <row r="40" spans="1:22" s="83" customFormat="1" ht="15" customHeight="1" x14ac:dyDescent="0.25">
      <c r="A40" s="211" t="s">
        <v>817</v>
      </c>
      <c r="B40" s="88">
        <f t="shared" ref="B40:U40" si="7">IF(ISERROR(B31/B23*B3),"",B31/B23*B3)</f>
        <v>0</v>
      </c>
      <c r="C40" s="88">
        <f t="shared" si="7"/>
        <v>0</v>
      </c>
      <c r="D40" s="88">
        <f t="shared" si="7"/>
        <v>0</v>
      </c>
      <c r="E40" s="88">
        <f t="shared" si="7"/>
        <v>0</v>
      </c>
      <c r="F40" s="88">
        <f t="shared" si="7"/>
        <v>0</v>
      </c>
      <c r="G40" s="88">
        <f t="shared" si="7"/>
        <v>0</v>
      </c>
      <c r="H40" s="88">
        <f t="shared" si="7"/>
        <v>0</v>
      </c>
      <c r="I40" s="88">
        <f t="shared" si="7"/>
        <v>0</v>
      </c>
      <c r="J40" s="88">
        <f t="shared" si="7"/>
        <v>0</v>
      </c>
      <c r="K40" s="88">
        <f t="shared" si="7"/>
        <v>0</v>
      </c>
      <c r="L40" s="88">
        <f t="shared" si="7"/>
        <v>0</v>
      </c>
      <c r="M40" s="88" t="str">
        <f t="shared" si="7"/>
        <v/>
      </c>
      <c r="N40" s="88" t="str">
        <f t="shared" si="7"/>
        <v/>
      </c>
      <c r="O40" s="88" t="str">
        <f t="shared" si="7"/>
        <v/>
      </c>
      <c r="P40" s="88" t="str">
        <f t="shared" si="7"/>
        <v/>
      </c>
      <c r="Q40" s="88" t="str">
        <f t="shared" si="7"/>
        <v/>
      </c>
      <c r="R40" s="88" t="str">
        <f t="shared" si="7"/>
        <v/>
      </c>
      <c r="S40" s="88" t="str">
        <f t="shared" si="7"/>
        <v/>
      </c>
      <c r="T40" s="88" t="str">
        <f t="shared" si="7"/>
        <v/>
      </c>
      <c r="U40" s="88" t="str">
        <f t="shared" si="7"/>
        <v/>
      </c>
      <c r="V40" s="674"/>
    </row>
    <row r="41" spans="1:22" ht="15" customHeight="1" x14ac:dyDescent="0.2">
      <c r="A41" s="211" t="s">
        <v>818</v>
      </c>
      <c r="B41" s="88">
        <f t="shared" ref="B41:U41" si="8">IF(ISERROR((B31-B28)/B23*B3),"",(B31-B28)/B23*B3)</f>
        <v>0</v>
      </c>
      <c r="C41" s="88">
        <f t="shared" si="8"/>
        <v>0</v>
      </c>
      <c r="D41" s="88">
        <f t="shared" si="8"/>
        <v>0</v>
      </c>
      <c r="E41" s="88">
        <f t="shared" si="8"/>
        <v>0</v>
      </c>
      <c r="F41" s="88">
        <f t="shared" si="8"/>
        <v>0</v>
      </c>
      <c r="G41" s="88">
        <f t="shared" si="8"/>
        <v>0</v>
      </c>
      <c r="H41" s="88">
        <f t="shared" si="8"/>
        <v>0</v>
      </c>
      <c r="I41" s="88">
        <f t="shared" si="8"/>
        <v>0</v>
      </c>
      <c r="J41" s="88">
        <f t="shared" si="8"/>
        <v>0</v>
      </c>
      <c r="K41" s="88">
        <f t="shared" si="8"/>
        <v>0</v>
      </c>
      <c r="L41" s="88">
        <f t="shared" si="8"/>
        <v>0</v>
      </c>
      <c r="M41" s="88" t="str">
        <f t="shared" si="8"/>
        <v/>
      </c>
      <c r="N41" s="88" t="str">
        <f t="shared" si="8"/>
        <v/>
      </c>
      <c r="O41" s="88" t="str">
        <f t="shared" si="8"/>
        <v/>
      </c>
      <c r="P41" s="88" t="str">
        <f t="shared" si="8"/>
        <v/>
      </c>
      <c r="Q41" s="88" t="str">
        <f t="shared" si="8"/>
        <v/>
      </c>
      <c r="R41" s="88" t="str">
        <f t="shared" si="8"/>
        <v/>
      </c>
      <c r="S41" s="88" t="str">
        <f t="shared" si="8"/>
        <v/>
      </c>
      <c r="T41" s="88" t="str">
        <f t="shared" si="8"/>
        <v/>
      </c>
      <c r="U41" s="88" t="str">
        <f t="shared" si="8"/>
        <v/>
      </c>
      <c r="V41" s="582"/>
    </row>
    <row r="42" spans="1:22" x14ac:dyDescent="0.25">
      <c r="A42" s="1002" t="s">
        <v>679</v>
      </c>
      <c r="B42" s="1119"/>
      <c r="C42" s="1120"/>
      <c r="D42" s="1120"/>
      <c r="E42" s="1120"/>
      <c r="F42" s="1120"/>
      <c r="G42" s="1120"/>
      <c r="H42" s="1120"/>
      <c r="I42" s="1120"/>
      <c r="J42" s="1120"/>
      <c r="K42" s="1120"/>
      <c r="L42" s="1120"/>
      <c r="M42" s="1120"/>
      <c r="N42" s="1120"/>
      <c r="O42" s="1120"/>
      <c r="P42" s="1120"/>
      <c r="Q42" s="1120"/>
      <c r="R42" s="1120"/>
      <c r="S42" s="1120"/>
      <c r="T42" s="1120"/>
      <c r="U42" s="1121"/>
      <c r="V42" s="674"/>
    </row>
    <row r="43" spans="1:22" s="83" customFormat="1" hidden="1" x14ac:dyDescent="0.25">
      <c r="A43" s="672" t="s">
        <v>306</v>
      </c>
      <c r="B43" s="67" t="e">
        <f>+'Fund Flow'!D64</f>
        <v>#REF!</v>
      </c>
      <c r="C43" s="67" t="e">
        <f>+'Fund Flow'!E64</f>
        <v>#REF!</v>
      </c>
      <c r="D43" s="67" t="e">
        <f>+'Fund Flow'!F64</f>
        <v>#REF!</v>
      </c>
      <c r="E43" s="67" t="e">
        <f>+'Fund Flow'!G64</f>
        <v>#REF!</v>
      </c>
      <c r="F43" s="67" t="e">
        <f>+'Fund Flow'!H64</f>
        <v>#REF!</v>
      </c>
      <c r="G43" s="67" t="e">
        <f>+'Fund Flow'!I64</f>
        <v>#REF!</v>
      </c>
      <c r="H43" s="67" t="e">
        <f>+'Fund Flow'!J64</f>
        <v>#REF!</v>
      </c>
      <c r="I43" s="67" t="e">
        <f>+'Fund Flow'!K64</f>
        <v>#REF!</v>
      </c>
      <c r="J43" s="67" t="e">
        <f>+'Fund Flow'!L64</f>
        <v>#REF!</v>
      </c>
      <c r="K43" s="67" t="e">
        <f>+'Fund Flow'!M64</f>
        <v>#REF!</v>
      </c>
      <c r="L43" s="67" t="e">
        <f>+'Fund Flow'!N64</f>
        <v>#REF!</v>
      </c>
      <c r="M43" s="67" t="e">
        <f>+'Fund Flow'!O64</f>
        <v>#REF!</v>
      </c>
      <c r="N43" s="67" t="e">
        <f>+'Fund Flow'!P64</f>
        <v>#REF!</v>
      </c>
      <c r="O43" s="67">
        <f>+'Fund Flow'!Q64</f>
        <v>0</v>
      </c>
      <c r="P43" s="67">
        <f>+'Fund Flow'!R64</f>
        <v>0</v>
      </c>
      <c r="Q43" s="67">
        <f>+'Fund Flow'!S64</f>
        <v>0</v>
      </c>
      <c r="R43" s="67">
        <f>+'Fund Flow'!T64</f>
        <v>0</v>
      </c>
      <c r="S43" s="67">
        <f>+'Fund Flow'!U64</f>
        <v>0</v>
      </c>
      <c r="T43" s="67">
        <f>+'Fund Flow'!V64</f>
        <v>0</v>
      </c>
      <c r="U43" s="67">
        <f>+'Fund Flow'!W64</f>
        <v>0</v>
      </c>
      <c r="V43" s="674"/>
    </row>
    <row r="44" spans="1:22" hidden="1" x14ac:dyDescent="0.25">
      <c r="A44" s="672" t="s">
        <v>306</v>
      </c>
      <c r="B44" s="67"/>
      <c r="C44" s="67"/>
      <c r="D44" s="67"/>
      <c r="E44" s="67"/>
      <c r="F44" s="67"/>
      <c r="G44" s="67"/>
      <c r="H44" s="67"/>
      <c r="I44" s="67"/>
      <c r="J44" s="67"/>
      <c r="K44" s="67"/>
      <c r="L44" s="67"/>
      <c r="M44" s="67"/>
      <c r="N44" s="67"/>
      <c r="O44" s="67"/>
      <c r="P44" s="67"/>
      <c r="Q44" s="67"/>
      <c r="R44" s="67"/>
      <c r="S44" s="67"/>
      <c r="T44" s="67"/>
      <c r="U44" s="67"/>
      <c r="V44" s="674"/>
    </row>
    <row r="45" spans="1:22" hidden="1" x14ac:dyDescent="0.25">
      <c r="A45" s="672" t="s">
        <v>306</v>
      </c>
      <c r="B45" s="67" t="e">
        <f>+'Fund Flow'!D67</f>
        <v>#REF!</v>
      </c>
      <c r="C45" s="67" t="e">
        <f>+'Fund Flow'!E67</f>
        <v>#REF!</v>
      </c>
      <c r="D45" s="67" t="e">
        <f>+'Fund Flow'!F67</f>
        <v>#REF!</v>
      </c>
      <c r="E45" s="67" t="e">
        <f>+'Fund Flow'!G67</f>
        <v>#REF!</v>
      </c>
      <c r="F45" s="67" t="e">
        <f>+'Fund Flow'!H67</f>
        <v>#REF!</v>
      </c>
      <c r="G45" s="67" t="e">
        <f>+'Fund Flow'!I67</f>
        <v>#REF!</v>
      </c>
      <c r="H45" s="67" t="e">
        <f>+'Fund Flow'!J67</f>
        <v>#REF!</v>
      </c>
      <c r="I45" s="67" t="e">
        <f>+'Fund Flow'!K67</f>
        <v>#REF!</v>
      </c>
      <c r="J45" s="67" t="e">
        <f>+'Fund Flow'!L67</f>
        <v>#REF!</v>
      </c>
      <c r="K45" s="67" t="e">
        <f>+'Fund Flow'!M67</f>
        <v>#REF!</v>
      </c>
      <c r="L45" s="67" t="e">
        <f>+'Fund Flow'!N67</f>
        <v>#REF!</v>
      </c>
      <c r="M45" s="67" t="e">
        <f>+'Fund Flow'!O67</f>
        <v>#REF!</v>
      </c>
      <c r="N45" s="67" t="e">
        <f>+'Fund Flow'!P67</f>
        <v>#REF!</v>
      </c>
      <c r="O45" s="67">
        <f>+'Fund Flow'!Q67</f>
        <v>0</v>
      </c>
      <c r="P45" s="67">
        <f>+'Fund Flow'!R67</f>
        <v>0</v>
      </c>
      <c r="Q45" s="67">
        <f>+'Fund Flow'!S67</f>
        <v>0</v>
      </c>
      <c r="R45" s="67">
        <f>+'Fund Flow'!T67</f>
        <v>0</v>
      </c>
      <c r="S45" s="67">
        <f>+'Fund Flow'!U67</f>
        <v>0</v>
      </c>
      <c r="T45" s="67">
        <f>+'Fund Flow'!V67</f>
        <v>0</v>
      </c>
      <c r="U45" s="67">
        <f>+'Fund Flow'!W67</f>
        <v>0</v>
      </c>
      <c r="V45" s="674"/>
    </row>
    <row r="46" spans="1:22" hidden="1" x14ac:dyDescent="0.25">
      <c r="A46" s="672" t="s">
        <v>306</v>
      </c>
      <c r="B46" s="67" t="e">
        <f>+'Fund Flow'!D68</f>
        <v>#REF!</v>
      </c>
      <c r="C46" s="67" t="e">
        <f>+'Fund Flow'!E68</f>
        <v>#REF!</v>
      </c>
      <c r="D46" s="67" t="e">
        <f>+'Fund Flow'!F68</f>
        <v>#REF!</v>
      </c>
      <c r="E46" s="67" t="e">
        <f>+'Fund Flow'!G68</f>
        <v>#REF!</v>
      </c>
      <c r="F46" s="67" t="e">
        <f>+'Fund Flow'!H68</f>
        <v>#REF!</v>
      </c>
      <c r="G46" s="67" t="e">
        <f>+'Fund Flow'!I68</f>
        <v>#REF!</v>
      </c>
      <c r="H46" s="67" t="e">
        <f>+'Fund Flow'!J68</f>
        <v>#REF!</v>
      </c>
      <c r="I46" s="67" t="e">
        <f>+'Fund Flow'!K68</f>
        <v>#REF!</v>
      </c>
      <c r="J46" s="67" t="e">
        <f>+'Fund Flow'!L68</f>
        <v>#REF!</v>
      </c>
      <c r="K46" s="67" t="e">
        <f>+'Fund Flow'!M68</f>
        <v>#REF!</v>
      </c>
      <c r="L46" s="67" t="e">
        <f>+'Fund Flow'!N68</f>
        <v>#REF!</v>
      </c>
      <c r="M46" s="67" t="e">
        <f>+'Fund Flow'!O68</f>
        <v>#REF!</v>
      </c>
      <c r="N46" s="67" t="e">
        <f>+'Fund Flow'!P68</f>
        <v>#REF!</v>
      </c>
      <c r="O46" s="67">
        <f>+'Fund Flow'!Q68</f>
        <v>0</v>
      </c>
      <c r="P46" s="67">
        <f>+'Fund Flow'!R68</f>
        <v>0</v>
      </c>
      <c r="Q46" s="67">
        <f>+'Fund Flow'!S68</f>
        <v>0</v>
      </c>
      <c r="R46" s="67">
        <f>+'Fund Flow'!T68</f>
        <v>0</v>
      </c>
      <c r="S46" s="67">
        <f>+'Fund Flow'!U68</f>
        <v>0</v>
      </c>
      <c r="T46" s="67">
        <f>+'Fund Flow'!V68</f>
        <v>0</v>
      </c>
      <c r="U46" s="67">
        <f>+'Fund Flow'!W68</f>
        <v>0</v>
      </c>
      <c r="V46" s="674"/>
    </row>
    <row r="47" spans="1:22" hidden="1" x14ac:dyDescent="0.25">
      <c r="A47" s="672" t="s">
        <v>306</v>
      </c>
      <c r="B47" s="67" t="e">
        <f>+'Fund Flow'!D69</f>
        <v>#REF!</v>
      </c>
      <c r="C47" s="67" t="e">
        <f>+'Fund Flow'!E69</f>
        <v>#REF!</v>
      </c>
      <c r="D47" s="67" t="e">
        <f>+'Fund Flow'!F69</f>
        <v>#REF!</v>
      </c>
      <c r="E47" s="67" t="e">
        <f>+'Fund Flow'!G69</f>
        <v>#REF!</v>
      </c>
      <c r="F47" s="67" t="e">
        <f>+'Fund Flow'!H69</f>
        <v>#REF!</v>
      </c>
      <c r="G47" s="67" t="e">
        <f>+'Fund Flow'!I69</f>
        <v>#REF!</v>
      </c>
      <c r="H47" s="67" t="e">
        <f>+'Fund Flow'!J69</f>
        <v>#REF!</v>
      </c>
      <c r="I47" s="67" t="e">
        <f>+'Fund Flow'!K69</f>
        <v>#REF!</v>
      </c>
      <c r="J47" s="67" t="e">
        <f>+'Fund Flow'!L69</f>
        <v>#REF!</v>
      </c>
      <c r="K47" s="67" t="e">
        <f>+'Fund Flow'!M69</f>
        <v>#REF!</v>
      </c>
      <c r="L47" s="67" t="e">
        <f>+'Fund Flow'!N69</f>
        <v>#REF!</v>
      </c>
      <c r="M47" s="67" t="e">
        <f>+'Fund Flow'!O69</f>
        <v>#REF!</v>
      </c>
      <c r="N47" s="67" t="e">
        <f>+'Fund Flow'!P69</f>
        <v>#REF!</v>
      </c>
      <c r="O47" s="67">
        <f>+'Fund Flow'!Q69</f>
        <v>0</v>
      </c>
      <c r="P47" s="67">
        <f>+'Fund Flow'!R69</f>
        <v>0</v>
      </c>
      <c r="Q47" s="67">
        <f>+'Fund Flow'!S69</f>
        <v>0</v>
      </c>
      <c r="R47" s="67">
        <f>+'Fund Flow'!T69</f>
        <v>0</v>
      </c>
      <c r="S47" s="67">
        <f>+'Fund Flow'!U69</f>
        <v>0</v>
      </c>
      <c r="T47" s="67">
        <f>+'Fund Flow'!V69</f>
        <v>0</v>
      </c>
      <c r="U47" s="67">
        <f>+'Fund Flow'!W69</f>
        <v>0</v>
      </c>
      <c r="V47" s="674"/>
    </row>
    <row r="48" spans="1:22" hidden="1" x14ac:dyDescent="0.25">
      <c r="A48" s="672" t="s">
        <v>306</v>
      </c>
      <c r="B48" s="67" t="e">
        <f>+'Fund Flow'!D70</f>
        <v>#REF!</v>
      </c>
      <c r="C48" s="67" t="e">
        <f>+'Fund Flow'!E70</f>
        <v>#REF!</v>
      </c>
      <c r="D48" s="67" t="e">
        <f>+'Fund Flow'!F70</f>
        <v>#REF!</v>
      </c>
      <c r="E48" s="67" t="e">
        <f>+'Fund Flow'!G70</f>
        <v>#REF!</v>
      </c>
      <c r="F48" s="67" t="e">
        <f>+'Fund Flow'!H70</f>
        <v>#REF!</v>
      </c>
      <c r="G48" s="67" t="e">
        <f>+'Fund Flow'!I70</f>
        <v>#REF!</v>
      </c>
      <c r="H48" s="67" t="e">
        <f>+'Fund Flow'!J70</f>
        <v>#REF!</v>
      </c>
      <c r="I48" s="67" t="e">
        <f>+'Fund Flow'!K70</f>
        <v>#REF!</v>
      </c>
      <c r="J48" s="67" t="e">
        <f>+'Fund Flow'!L70</f>
        <v>#REF!</v>
      </c>
      <c r="K48" s="67" t="e">
        <f>+'Fund Flow'!M70</f>
        <v>#REF!</v>
      </c>
      <c r="L48" s="67" t="e">
        <f>+'Fund Flow'!N70</f>
        <v>#REF!</v>
      </c>
      <c r="M48" s="67" t="e">
        <f>+'Fund Flow'!O70</f>
        <v>#REF!</v>
      </c>
      <c r="N48" s="67" t="e">
        <f>+'Fund Flow'!P70</f>
        <v>#REF!</v>
      </c>
      <c r="O48" s="67">
        <f>+'Fund Flow'!Q70</f>
        <v>0</v>
      </c>
      <c r="P48" s="67">
        <f>+'Fund Flow'!R70</f>
        <v>0</v>
      </c>
      <c r="Q48" s="67">
        <f>+'Fund Flow'!S70</f>
        <v>0</v>
      </c>
      <c r="R48" s="67">
        <f>+'Fund Flow'!T70</f>
        <v>0</v>
      </c>
      <c r="S48" s="67">
        <f>+'Fund Flow'!U70</f>
        <v>0</v>
      </c>
      <c r="T48" s="67">
        <f>+'Fund Flow'!V70</f>
        <v>0</v>
      </c>
      <c r="U48" s="67">
        <f>+'Fund Flow'!W70</f>
        <v>0</v>
      </c>
      <c r="V48" s="674"/>
    </row>
    <row r="49" spans="1:22" hidden="1" x14ac:dyDescent="0.25">
      <c r="A49" s="672" t="s">
        <v>306</v>
      </c>
      <c r="B49" s="67" t="e">
        <f>+'Fund Flow'!D71</f>
        <v>#REF!</v>
      </c>
      <c r="C49" s="67" t="e">
        <f>+'Fund Flow'!E71</f>
        <v>#REF!</v>
      </c>
      <c r="D49" s="67" t="e">
        <f>+'Fund Flow'!F71</f>
        <v>#REF!</v>
      </c>
      <c r="E49" s="67" t="e">
        <f>+'Fund Flow'!G71</f>
        <v>#REF!</v>
      </c>
      <c r="F49" s="67" t="e">
        <f>+'Fund Flow'!H71</f>
        <v>#REF!</v>
      </c>
      <c r="G49" s="67" t="e">
        <f>+'Fund Flow'!I71</f>
        <v>#REF!</v>
      </c>
      <c r="H49" s="67" t="e">
        <f>+'Fund Flow'!J71</f>
        <v>#REF!</v>
      </c>
      <c r="I49" s="67" t="e">
        <f>+'Fund Flow'!K71</f>
        <v>#REF!</v>
      </c>
      <c r="J49" s="67" t="e">
        <f>+'Fund Flow'!L71</f>
        <v>#REF!</v>
      </c>
      <c r="K49" s="67" t="e">
        <f>+'Fund Flow'!M71</f>
        <v>#REF!</v>
      </c>
      <c r="L49" s="67" t="e">
        <f>+'Fund Flow'!N71</f>
        <v>#REF!</v>
      </c>
      <c r="M49" s="67" t="e">
        <f>+'Fund Flow'!O71</f>
        <v>#REF!</v>
      </c>
      <c r="N49" s="67" t="e">
        <f>+'Fund Flow'!P71</f>
        <v>#REF!</v>
      </c>
      <c r="O49" s="67">
        <f>+'Fund Flow'!Q71</f>
        <v>0</v>
      </c>
      <c r="P49" s="67">
        <f>+'Fund Flow'!R71</f>
        <v>0</v>
      </c>
      <c r="Q49" s="67">
        <f>+'Fund Flow'!S71</f>
        <v>0</v>
      </c>
      <c r="R49" s="67">
        <f>+'Fund Flow'!T71</f>
        <v>0</v>
      </c>
      <c r="S49" s="67">
        <f>+'Fund Flow'!U71</f>
        <v>0</v>
      </c>
      <c r="T49" s="67">
        <f>+'Fund Flow'!V71</f>
        <v>0</v>
      </c>
      <c r="U49" s="67">
        <f>+'Fund Flow'!W71</f>
        <v>0</v>
      </c>
      <c r="V49" s="674"/>
    </row>
    <row r="50" spans="1:22" hidden="1" x14ac:dyDescent="0.25">
      <c r="A50" s="672" t="s">
        <v>306</v>
      </c>
      <c r="B50" s="67" t="e">
        <f>+'Fund Flow'!D72</f>
        <v>#REF!</v>
      </c>
      <c r="C50" s="67" t="e">
        <f>+'Fund Flow'!E72</f>
        <v>#REF!</v>
      </c>
      <c r="D50" s="67" t="e">
        <f>+'Fund Flow'!F72</f>
        <v>#REF!</v>
      </c>
      <c r="E50" s="67" t="e">
        <f>+'Fund Flow'!G72</f>
        <v>#REF!</v>
      </c>
      <c r="F50" s="67" t="e">
        <f>+'Fund Flow'!H72</f>
        <v>#REF!</v>
      </c>
      <c r="G50" s="67" t="e">
        <f>+'Fund Flow'!I72</f>
        <v>#REF!</v>
      </c>
      <c r="H50" s="67" t="e">
        <f>+'Fund Flow'!J72</f>
        <v>#REF!</v>
      </c>
      <c r="I50" s="67" t="e">
        <f>+'Fund Flow'!K72</f>
        <v>#REF!</v>
      </c>
      <c r="J50" s="67" t="e">
        <f>+'Fund Flow'!L72</f>
        <v>#REF!</v>
      </c>
      <c r="K50" s="67" t="e">
        <f>+'Fund Flow'!M72</f>
        <v>#REF!</v>
      </c>
      <c r="L50" s="67" t="e">
        <f>+'Fund Flow'!N72</f>
        <v>#REF!</v>
      </c>
      <c r="M50" s="67" t="e">
        <f>+'Fund Flow'!O72</f>
        <v>#REF!</v>
      </c>
      <c r="N50" s="67" t="e">
        <f>+'Fund Flow'!P72</f>
        <v>#REF!</v>
      </c>
      <c r="O50" s="67">
        <f>+'Fund Flow'!Q72</f>
        <v>0</v>
      </c>
      <c r="P50" s="67">
        <f>+'Fund Flow'!R72</f>
        <v>0</v>
      </c>
      <c r="Q50" s="67">
        <f>+'Fund Flow'!S72</f>
        <v>0</v>
      </c>
      <c r="R50" s="67">
        <f>+'Fund Flow'!T72</f>
        <v>0</v>
      </c>
      <c r="S50" s="67">
        <f>+'Fund Flow'!U72</f>
        <v>0</v>
      </c>
      <c r="T50" s="67">
        <f>+'Fund Flow'!V72</f>
        <v>0</v>
      </c>
      <c r="U50" s="67">
        <f>+'Fund Flow'!W72</f>
        <v>0</v>
      </c>
      <c r="V50" s="674"/>
    </row>
    <row r="51" spans="1:22" hidden="1" x14ac:dyDescent="0.25">
      <c r="A51" s="672" t="s">
        <v>306</v>
      </c>
      <c r="B51" s="67" t="e">
        <f>+'Fund Flow'!D73</f>
        <v>#REF!</v>
      </c>
      <c r="C51" s="67" t="e">
        <f>+'Fund Flow'!E73</f>
        <v>#REF!</v>
      </c>
      <c r="D51" s="67" t="e">
        <f>+'Fund Flow'!F73</f>
        <v>#REF!</v>
      </c>
      <c r="E51" s="67" t="e">
        <f>+'Fund Flow'!G73</f>
        <v>#REF!</v>
      </c>
      <c r="F51" s="67" t="e">
        <f>+'Fund Flow'!H73</f>
        <v>#REF!</v>
      </c>
      <c r="G51" s="67" t="e">
        <f>+'Fund Flow'!I73</f>
        <v>#REF!</v>
      </c>
      <c r="H51" s="67" t="e">
        <f>+'Fund Flow'!J73</f>
        <v>#REF!</v>
      </c>
      <c r="I51" s="67" t="e">
        <f>+'Fund Flow'!K73</f>
        <v>#REF!</v>
      </c>
      <c r="J51" s="67" t="e">
        <f>+'Fund Flow'!L73</f>
        <v>#REF!</v>
      </c>
      <c r="K51" s="67" t="e">
        <f>+'Fund Flow'!M73</f>
        <v>#REF!</v>
      </c>
      <c r="L51" s="67" t="e">
        <f>+'Fund Flow'!N73</f>
        <v>#REF!</v>
      </c>
      <c r="M51" s="67" t="e">
        <f>+'Fund Flow'!O73</f>
        <v>#REF!</v>
      </c>
      <c r="N51" s="67" t="e">
        <f>+'Fund Flow'!P73</f>
        <v>#REF!</v>
      </c>
      <c r="O51" s="67">
        <f>+'Fund Flow'!Q73</f>
        <v>0</v>
      </c>
      <c r="P51" s="67">
        <f>+'Fund Flow'!R73</f>
        <v>0</v>
      </c>
      <c r="Q51" s="67">
        <f>+'Fund Flow'!S73</f>
        <v>0</v>
      </c>
      <c r="R51" s="67">
        <f>+'Fund Flow'!T73</f>
        <v>0</v>
      </c>
      <c r="S51" s="67">
        <f>+'Fund Flow'!U73</f>
        <v>0</v>
      </c>
      <c r="T51" s="67">
        <f>+'Fund Flow'!V73</f>
        <v>0</v>
      </c>
      <c r="U51" s="67">
        <f>+'Fund Flow'!W73</f>
        <v>0</v>
      </c>
      <c r="V51" s="674"/>
    </row>
    <row r="52" spans="1:22" hidden="1" x14ac:dyDescent="0.25">
      <c r="A52" s="672" t="s">
        <v>306</v>
      </c>
      <c r="B52" s="67" t="e">
        <f>B67-B62</f>
        <v>#REF!</v>
      </c>
      <c r="C52" s="67" t="e">
        <f t="shared" ref="C52:U52" si="9">C67-C62</f>
        <v>#REF!</v>
      </c>
      <c r="D52" s="67" t="e">
        <f t="shared" si="9"/>
        <v>#REF!</v>
      </c>
      <c r="E52" s="67" t="e">
        <f t="shared" si="9"/>
        <v>#REF!</v>
      </c>
      <c r="F52" s="67" t="e">
        <f t="shared" si="9"/>
        <v>#REF!</v>
      </c>
      <c r="G52" s="67" t="e">
        <f t="shared" si="9"/>
        <v>#REF!</v>
      </c>
      <c r="H52" s="67" t="e">
        <f t="shared" si="9"/>
        <v>#REF!</v>
      </c>
      <c r="I52" s="67" t="e">
        <f t="shared" si="9"/>
        <v>#REF!</v>
      </c>
      <c r="J52" s="67" t="e">
        <f t="shared" si="9"/>
        <v>#REF!</v>
      </c>
      <c r="K52" s="67" t="e">
        <f t="shared" si="9"/>
        <v>#REF!</v>
      </c>
      <c r="L52" s="67" t="e">
        <f t="shared" si="9"/>
        <v>#REF!</v>
      </c>
      <c r="M52" s="67" t="e">
        <f t="shared" si="9"/>
        <v>#REF!</v>
      </c>
      <c r="N52" s="67" t="e">
        <f t="shared" si="9"/>
        <v>#REF!</v>
      </c>
      <c r="O52" s="67" t="e">
        <f t="shared" si="9"/>
        <v>#REF!</v>
      </c>
      <c r="P52" s="67" t="e">
        <f t="shared" si="9"/>
        <v>#REF!</v>
      </c>
      <c r="Q52" s="67" t="e">
        <f t="shared" si="9"/>
        <v>#REF!</v>
      </c>
      <c r="R52" s="67" t="e">
        <f t="shared" si="9"/>
        <v>#REF!</v>
      </c>
      <c r="S52" s="67" t="e">
        <f t="shared" si="9"/>
        <v>#REF!</v>
      </c>
      <c r="T52" s="67" t="e">
        <f t="shared" si="9"/>
        <v>#REF!</v>
      </c>
      <c r="U52" s="67" t="e">
        <f t="shared" si="9"/>
        <v>#REF!</v>
      </c>
      <c r="V52" s="674"/>
    </row>
    <row r="53" spans="1:22" s="83" customFormat="1" hidden="1" x14ac:dyDescent="0.25">
      <c r="A53" s="672" t="s">
        <v>306</v>
      </c>
      <c r="B53" s="86" t="e">
        <f>SUM(B45:B52)</f>
        <v>#REF!</v>
      </c>
      <c r="C53" s="86" t="e">
        <f t="shared" ref="C53:U53" si="10">SUM(C45:C52)</f>
        <v>#REF!</v>
      </c>
      <c r="D53" s="86" t="e">
        <f t="shared" si="10"/>
        <v>#REF!</v>
      </c>
      <c r="E53" s="86" t="e">
        <f t="shared" si="10"/>
        <v>#REF!</v>
      </c>
      <c r="F53" s="86" t="e">
        <f t="shared" si="10"/>
        <v>#REF!</v>
      </c>
      <c r="G53" s="86" t="e">
        <f t="shared" si="10"/>
        <v>#REF!</v>
      </c>
      <c r="H53" s="86" t="e">
        <f t="shared" si="10"/>
        <v>#REF!</v>
      </c>
      <c r="I53" s="86" t="e">
        <f t="shared" si="10"/>
        <v>#REF!</v>
      </c>
      <c r="J53" s="86" t="e">
        <f t="shared" si="10"/>
        <v>#REF!</v>
      </c>
      <c r="K53" s="86" t="e">
        <f t="shared" si="10"/>
        <v>#REF!</v>
      </c>
      <c r="L53" s="86" t="e">
        <f t="shared" si="10"/>
        <v>#REF!</v>
      </c>
      <c r="M53" s="86" t="e">
        <f t="shared" si="10"/>
        <v>#REF!</v>
      </c>
      <c r="N53" s="86" t="e">
        <f t="shared" si="10"/>
        <v>#REF!</v>
      </c>
      <c r="O53" s="86" t="e">
        <f t="shared" si="10"/>
        <v>#REF!</v>
      </c>
      <c r="P53" s="86" t="e">
        <f t="shared" si="10"/>
        <v>#REF!</v>
      </c>
      <c r="Q53" s="86" t="e">
        <f t="shared" si="10"/>
        <v>#REF!</v>
      </c>
      <c r="R53" s="86" t="e">
        <f t="shared" si="10"/>
        <v>#REF!</v>
      </c>
      <c r="S53" s="86" t="e">
        <f t="shared" si="10"/>
        <v>#REF!</v>
      </c>
      <c r="T53" s="86" t="e">
        <f t="shared" si="10"/>
        <v>#REF!</v>
      </c>
      <c r="U53" s="86" t="e">
        <f t="shared" si="10"/>
        <v>#REF!</v>
      </c>
      <c r="V53" s="674"/>
    </row>
    <row r="54" spans="1:22" hidden="1" x14ac:dyDescent="0.25">
      <c r="A54" s="672" t="s">
        <v>306</v>
      </c>
      <c r="B54" s="67"/>
      <c r="C54" s="67"/>
      <c r="D54" s="67"/>
      <c r="E54" s="67"/>
      <c r="F54" s="67"/>
      <c r="G54" s="67"/>
      <c r="H54" s="67"/>
      <c r="I54" s="67"/>
      <c r="J54" s="67"/>
      <c r="K54" s="67"/>
      <c r="L54" s="67"/>
      <c r="M54" s="67"/>
      <c r="N54" s="67"/>
      <c r="O54" s="67"/>
      <c r="P54" s="67"/>
      <c r="Q54" s="67"/>
      <c r="R54" s="67"/>
      <c r="S54" s="67"/>
      <c r="T54" s="67"/>
      <c r="U54" s="67"/>
      <c r="V54" s="674"/>
    </row>
    <row r="55" spans="1:22" s="83" customFormat="1" hidden="1" x14ac:dyDescent="0.25">
      <c r="A55" s="672" t="s">
        <v>306</v>
      </c>
      <c r="B55" s="86" t="e">
        <f>B43-B53</f>
        <v>#REF!</v>
      </c>
      <c r="C55" s="86" t="e">
        <f t="shared" ref="C55:U55" si="11">C43-C53</f>
        <v>#REF!</v>
      </c>
      <c r="D55" s="86" t="e">
        <f t="shared" si="11"/>
        <v>#REF!</v>
      </c>
      <c r="E55" s="86" t="e">
        <f t="shared" si="11"/>
        <v>#REF!</v>
      </c>
      <c r="F55" s="86" t="e">
        <f t="shared" si="11"/>
        <v>#REF!</v>
      </c>
      <c r="G55" s="86" t="e">
        <f t="shared" si="11"/>
        <v>#REF!</v>
      </c>
      <c r="H55" s="86" t="e">
        <f t="shared" si="11"/>
        <v>#REF!</v>
      </c>
      <c r="I55" s="86" t="e">
        <f t="shared" si="11"/>
        <v>#REF!</v>
      </c>
      <c r="J55" s="86" t="e">
        <f t="shared" si="11"/>
        <v>#REF!</v>
      </c>
      <c r="K55" s="86" t="e">
        <f t="shared" si="11"/>
        <v>#REF!</v>
      </c>
      <c r="L55" s="86" t="e">
        <f t="shared" si="11"/>
        <v>#REF!</v>
      </c>
      <c r="M55" s="86" t="e">
        <f t="shared" si="11"/>
        <v>#REF!</v>
      </c>
      <c r="N55" s="86" t="e">
        <f t="shared" si="11"/>
        <v>#REF!</v>
      </c>
      <c r="O55" s="86" t="e">
        <f t="shared" si="11"/>
        <v>#REF!</v>
      </c>
      <c r="P55" s="86" t="e">
        <f t="shared" si="11"/>
        <v>#REF!</v>
      </c>
      <c r="Q55" s="86" t="e">
        <f t="shared" si="11"/>
        <v>#REF!</v>
      </c>
      <c r="R55" s="86" t="e">
        <f t="shared" si="11"/>
        <v>#REF!</v>
      </c>
      <c r="S55" s="86" t="e">
        <f t="shared" si="11"/>
        <v>#REF!</v>
      </c>
      <c r="T55" s="86" t="e">
        <f t="shared" si="11"/>
        <v>#REF!</v>
      </c>
      <c r="U55" s="86" t="e">
        <f t="shared" si="11"/>
        <v>#REF!</v>
      </c>
      <c r="V55" s="674"/>
    </row>
    <row r="56" spans="1:22" hidden="1" x14ac:dyDescent="0.25">
      <c r="A56" s="672" t="s">
        <v>306</v>
      </c>
      <c r="B56" s="67"/>
      <c r="C56" s="67"/>
      <c r="D56" s="67"/>
      <c r="E56" s="67"/>
      <c r="F56" s="67"/>
      <c r="G56" s="67"/>
      <c r="H56" s="67"/>
      <c r="I56" s="67"/>
      <c r="J56" s="67"/>
      <c r="K56" s="67"/>
      <c r="L56" s="67"/>
      <c r="M56" s="67"/>
      <c r="N56" s="67"/>
      <c r="O56" s="67"/>
      <c r="P56" s="67"/>
      <c r="Q56" s="67"/>
      <c r="R56" s="67"/>
      <c r="S56" s="67"/>
      <c r="T56" s="67"/>
      <c r="U56" s="67"/>
      <c r="V56" s="674"/>
    </row>
    <row r="57" spans="1:22" hidden="1" x14ac:dyDescent="0.25">
      <c r="A57" s="672" t="s">
        <v>306</v>
      </c>
      <c r="B57" s="67" t="e">
        <f>+'Fund Flow'!D80</f>
        <v>#REF!</v>
      </c>
      <c r="C57" s="67" t="e">
        <f>+'Fund Flow'!E80</f>
        <v>#REF!</v>
      </c>
      <c r="D57" s="67" t="e">
        <f>+'Fund Flow'!F80</f>
        <v>#REF!</v>
      </c>
      <c r="E57" s="67" t="e">
        <f>+'Fund Flow'!G80</f>
        <v>#REF!</v>
      </c>
      <c r="F57" s="67" t="e">
        <f>+'Fund Flow'!H80</f>
        <v>#REF!</v>
      </c>
      <c r="G57" s="67" t="e">
        <f>+'Fund Flow'!I80</f>
        <v>#REF!</v>
      </c>
      <c r="H57" s="67" t="e">
        <f>+'Fund Flow'!J80</f>
        <v>#REF!</v>
      </c>
      <c r="I57" s="67" t="e">
        <f>+'Fund Flow'!K80</f>
        <v>#REF!</v>
      </c>
      <c r="J57" s="67" t="e">
        <f>+'Fund Flow'!L80</f>
        <v>#REF!</v>
      </c>
      <c r="K57" s="67" t="e">
        <f>+'Fund Flow'!M80</f>
        <v>#REF!</v>
      </c>
      <c r="L57" s="67" t="e">
        <f>+'Fund Flow'!N80</f>
        <v>#REF!</v>
      </c>
      <c r="M57" s="67" t="e">
        <f>+'Fund Flow'!O80</f>
        <v>#REF!</v>
      </c>
      <c r="N57" s="67" t="e">
        <f>+'Fund Flow'!P80</f>
        <v>#REF!</v>
      </c>
      <c r="O57" s="67">
        <f>+'Fund Flow'!Q80</f>
        <v>0</v>
      </c>
      <c r="P57" s="67">
        <f>+'Fund Flow'!R80</f>
        <v>0</v>
      </c>
      <c r="Q57" s="67">
        <f>+'Fund Flow'!S80</f>
        <v>0</v>
      </c>
      <c r="R57" s="67">
        <f>+'Fund Flow'!T80</f>
        <v>0</v>
      </c>
      <c r="S57" s="67">
        <f>+'Fund Flow'!U80</f>
        <v>0</v>
      </c>
      <c r="T57" s="67">
        <f>+'Fund Flow'!V80</f>
        <v>0</v>
      </c>
      <c r="U57" s="67">
        <f>+'Fund Flow'!W80</f>
        <v>0</v>
      </c>
      <c r="V57" s="674"/>
    </row>
    <row r="58" spans="1:22" hidden="1" x14ac:dyDescent="0.25">
      <c r="A58" s="672" t="s">
        <v>306</v>
      </c>
      <c r="B58" s="67" t="e">
        <f>+'Fund Flow'!D81</f>
        <v>#REF!</v>
      </c>
      <c r="C58" s="67" t="e">
        <f>+'Fund Flow'!E81</f>
        <v>#REF!</v>
      </c>
      <c r="D58" s="67" t="e">
        <f>+'Fund Flow'!F81</f>
        <v>#REF!</v>
      </c>
      <c r="E58" s="67" t="e">
        <f>+'Fund Flow'!G81</f>
        <v>#REF!</v>
      </c>
      <c r="F58" s="67" t="e">
        <f>+'Fund Flow'!H81</f>
        <v>#REF!</v>
      </c>
      <c r="G58" s="67" t="e">
        <f>+'Fund Flow'!I81</f>
        <v>#REF!</v>
      </c>
      <c r="H58" s="67" t="e">
        <f>+'Fund Flow'!J81</f>
        <v>#REF!</v>
      </c>
      <c r="I58" s="67" t="e">
        <f>+'Fund Flow'!K81</f>
        <v>#REF!</v>
      </c>
      <c r="J58" s="67" t="e">
        <f>+'Fund Flow'!L81</f>
        <v>#REF!</v>
      </c>
      <c r="K58" s="67" t="e">
        <f>+'Fund Flow'!M81</f>
        <v>#REF!</v>
      </c>
      <c r="L58" s="67" t="e">
        <f>+'Fund Flow'!N81</f>
        <v>#REF!</v>
      </c>
      <c r="M58" s="67" t="e">
        <f>+'Fund Flow'!O81</f>
        <v>#REF!</v>
      </c>
      <c r="N58" s="67" t="e">
        <f>+'Fund Flow'!P81</f>
        <v>#REF!</v>
      </c>
      <c r="O58" s="67">
        <f>+'Fund Flow'!Q81</f>
        <v>0</v>
      </c>
      <c r="P58" s="67">
        <f>+'Fund Flow'!R81</f>
        <v>0</v>
      </c>
      <c r="Q58" s="67">
        <f>+'Fund Flow'!S81</f>
        <v>0</v>
      </c>
      <c r="R58" s="67">
        <f>+'Fund Flow'!T81</f>
        <v>0</v>
      </c>
      <c r="S58" s="67">
        <f>+'Fund Flow'!U81</f>
        <v>0</v>
      </c>
      <c r="T58" s="67">
        <f>+'Fund Flow'!V81</f>
        <v>0</v>
      </c>
      <c r="U58" s="67">
        <f>+'Fund Flow'!W81</f>
        <v>0</v>
      </c>
      <c r="V58" s="674"/>
    </row>
    <row r="59" spans="1:22" hidden="1" x14ac:dyDescent="0.25">
      <c r="A59" s="672" t="s">
        <v>306</v>
      </c>
      <c r="B59" s="67" t="e">
        <f>+'Fund Flow'!D82</f>
        <v>#REF!</v>
      </c>
      <c r="C59" s="67" t="e">
        <f>+'Fund Flow'!E82</f>
        <v>#REF!</v>
      </c>
      <c r="D59" s="67" t="e">
        <f>+'Fund Flow'!F82</f>
        <v>#REF!</v>
      </c>
      <c r="E59" s="67" t="e">
        <f>+'Fund Flow'!G82</f>
        <v>#REF!</v>
      </c>
      <c r="F59" s="67" t="e">
        <f>+'Fund Flow'!H82</f>
        <v>#REF!</v>
      </c>
      <c r="G59" s="67" t="e">
        <f>+'Fund Flow'!I82</f>
        <v>#REF!</v>
      </c>
      <c r="H59" s="67" t="e">
        <f>+'Fund Flow'!J82</f>
        <v>#REF!</v>
      </c>
      <c r="I59" s="67" t="e">
        <f>+'Fund Flow'!K82</f>
        <v>#REF!</v>
      </c>
      <c r="J59" s="67" t="e">
        <f>+'Fund Flow'!L82</f>
        <v>#REF!</v>
      </c>
      <c r="K59" s="67" t="e">
        <f>+'Fund Flow'!M82</f>
        <v>#REF!</v>
      </c>
      <c r="L59" s="67" t="e">
        <f>+'Fund Flow'!N82</f>
        <v>#REF!</v>
      </c>
      <c r="M59" s="67" t="e">
        <f>+'Fund Flow'!O82</f>
        <v>#REF!</v>
      </c>
      <c r="N59" s="67" t="e">
        <f>+'Fund Flow'!P82</f>
        <v>#REF!</v>
      </c>
      <c r="O59" s="67">
        <f>+'Fund Flow'!Q82</f>
        <v>0</v>
      </c>
      <c r="P59" s="67">
        <f>+'Fund Flow'!R82</f>
        <v>0</v>
      </c>
      <c r="Q59" s="67">
        <f>+'Fund Flow'!S82</f>
        <v>0</v>
      </c>
      <c r="R59" s="67">
        <f>+'Fund Flow'!T82</f>
        <v>0</v>
      </c>
      <c r="S59" s="67">
        <f>+'Fund Flow'!U82</f>
        <v>0</v>
      </c>
      <c r="T59" s="67">
        <f>+'Fund Flow'!V82</f>
        <v>0</v>
      </c>
      <c r="U59" s="67">
        <f>+'Fund Flow'!W82</f>
        <v>0</v>
      </c>
      <c r="V59" s="674"/>
    </row>
    <row r="60" spans="1:22" hidden="1" x14ac:dyDescent="0.25">
      <c r="A60" s="672" t="s">
        <v>306</v>
      </c>
      <c r="B60" s="67" t="e">
        <f>+'Fund Flow'!D83</f>
        <v>#REF!</v>
      </c>
      <c r="C60" s="67" t="e">
        <f>+'Fund Flow'!E83</f>
        <v>#REF!</v>
      </c>
      <c r="D60" s="67" t="e">
        <f>+'Fund Flow'!F83</f>
        <v>#REF!</v>
      </c>
      <c r="E60" s="67" t="e">
        <f>+'Fund Flow'!G83</f>
        <v>#REF!</v>
      </c>
      <c r="F60" s="67" t="e">
        <f>+'Fund Flow'!H83</f>
        <v>#REF!</v>
      </c>
      <c r="G60" s="67" t="e">
        <f>+'Fund Flow'!I83</f>
        <v>#REF!</v>
      </c>
      <c r="H60" s="67" t="e">
        <f>+'Fund Flow'!J83</f>
        <v>#REF!</v>
      </c>
      <c r="I60" s="67" t="e">
        <f>+'Fund Flow'!K83</f>
        <v>#REF!</v>
      </c>
      <c r="J60" s="67" t="e">
        <f>+'Fund Flow'!L83</f>
        <v>#REF!</v>
      </c>
      <c r="K60" s="67" t="e">
        <f>+'Fund Flow'!M83</f>
        <v>#REF!</v>
      </c>
      <c r="L60" s="67" t="e">
        <f>+'Fund Flow'!N83</f>
        <v>#REF!</v>
      </c>
      <c r="M60" s="67" t="e">
        <f>+'Fund Flow'!O83</f>
        <v>#REF!</v>
      </c>
      <c r="N60" s="67" t="e">
        <f>+'Fund Flow'!P83</f>
        <v>#REF!</v>
      </c>
      <c r="O60" s="67">
        <f>+'Fund Flow'!Q83</f>
        <v>0</v>
      </c>
      <c r="P60" s="67">
        <f>+'Fund Flow'!R83</f>
        <v>0</v>
      </c>
      <c r="Q60" s="67">
        <f>+'Fund Flow'!S83</f>
        <v>0</v>
      </c>
      <c r="R60" s="67">
        <f>+'Fund Flow'!T83</f>
        <v>0</v>
      </c>
      <c r="S60" s="67">
        <f>+'Fund Flow'!U83</f>
        <v>0</v>
      </c>
      <c r="T60" s="67">
        <f>+'Fund Flow'!V83</f>
        <v>0</v>
      </c>
      <c r="U60" s="67">
        <f>+'Fund Flow'!W83</f>
        <v>0</v>
      </c>
      <c r="V60" s="674"/>
    </row>
    <row r="61" spans="1:22" hidden="1" x14ac:dyDescent="0.25">
      <c r="A61" s="672" t="s">
        <v>306</v>
      </c>
      <c r="B61" s="67" t="e">
        <f>+'Fund Flow'!D84</f>
        <v>#REF!</v>
      </c>
      <c r="C61" s="67" t="e">
        <f>+'Fund Flow'!E84</f>
        <v>#REF!</v>
      </c>
      <c r="D61" s="67" t="e">
        <f>+'Fund Flow'!F84</f>
        <v>#REF!</v>
      </c>
      <c r="E61" s="67" t="e">
        <f>+'Fund Flow'!G84</f>
        <v>#REF!</v>
      </c>
      <c r="F61" s="67" t="e">
        <f>+'Fund Flow'!H84</f>
        <v>#REF!</v>
      </c>
      <c r="G61" s="67" t="e">
        <f>+'Fund Flow'!I84</f>
        <v>#REF!</v>
      </c>
      <c r="H61" s="67" t="e">
        <f>+'Fund Flow'!J84</f>
        <v>#REF!</v>
      </c>
      <c r="I61" s="67" t="e">
        <f>+'Fund Flow'!K84</f>
        <v>#REF!</v>
      </c>
      <c r="J61" s="67" t="e">
        <f>+'Fund Flow'!L84</f>
        <v>#REF!</v>
      </c>
      <c r="K61" s="67" t="e">
        <f>+'Fund Flow'!M84</f>
        <v>#REF!</v>
      </c>
      <c r="L61" s="67" t="e">
        <f>+'Fund Flow'!N84</f>
        <v>#REF!</v>
      </c>
      <c r="M61" s="67" t="e">
        <f>+'Fund Flow'!O84</f>
        <v>#REF!</v>
      </c>
      <c r="N61" s="67" t="e">
        <f>+'Fund Flow'!P84</f>
        <v>#REF!</v>
      </c>
      <c r="O61" s="67">
        <f>+'Fund Flow'!Q84</f>
        <v>0</v>
      </c>
      <c r="P61" s="67">
        <f>+'Fund Flow'!R84</f>
        <v>0</v>
      </c>
      <c r="Q61" s="67">
        <f>+'Fund Flow'!S84</f>
        <v>0</v>
      </c>
      <c r="R61" s="67">
        <f>+'Fund Flow'!T84</f>
        <v>0</v>
      </c>
      <c r="S61" s="67">
        <f>+'Fund Flow'!U84</f>
        <v>0</v>
      </c>
      <c r="T61" s="67">
        <f>+'Fund Flow'!V84</f>
        <v>0</v>
      </c>
      <c r="U61" s="67">
        <f>+'Fund Flow'!W84</f>
        <v>0</v>
      </c>
      <c r="V61" s="674"/>
    </row>
    <row r="62" spans="1:22" hidden="1" x14ac:dyDescent="0.25">
      <c r="A62" s="672" t="s">
        <v>306</v>
      </c>
      <c r="B62" s="67">
        <f>DSCR!B6</f>
        <v>0</v>
      </c>
      <c r="C62" s="67">
        <f>DSCR!C6</f>
        <v>0</v>
      </c>
      <c r="D62" s="67">
        <f>DSCR!D6</f>
        <v>0</v>
      </c>
      <c r="E62" s="67">
        <f>DSCR!E6</f>
        <v>0</v>
      </c>
      <c r="F62" s="67">
        <f>DSCR!F6</f>
        <v>0</v>
      </c>
      <c r="G62" s="67">
        <f>DSCR!G6</f>
        <v>0</v>
      </c>
      <c r="H62" s="67">
        <f>DSCR!H6</f>
        <v>0</v>
      </c>
      <c r="I62" s="67">
        <f>DSCR!I6</f>
        <v>0</v>
      </c>
      <c r="J62" s="67">
        <f>DSCR!J6</f>
        <v>0</v>
      </c>
      <c r="K62" s="67">
        <f>DSCR!K6</f>
        <v>0</v>
      </c>
      <c r="L62" s="67">
        <f>DSCR!L6</f>
        <v>0</v>
      </c>
      <c r="M62" s="67">
        <f>DSCR!M6</f>
        <v>0</v>
      </c>
      <c r="N62" s="67">
        <f>DSCR!N6</f>
        <v>0</v>
      </c>
      <c r="O62" s="67">
        <f>DSCR!O6</f>
        <v>0</v>
      </c>
      <c r="P62" s="67">
        <f>DSCR!P6</f>
        <v>0</v>
      </c>
      <c r="Q62" s="67">
        <f>DSCR!Q6</f>
        <v>0</v>
      </c>
      <c r="R62" s="67">
        <f>DSCR!R6</f>
        <v>0</v>
      </c>
      <c r="S62" s="67">
        <f>DSCR!S6</f>
        <v>0</v>
      </c>
      <c r="T62" s="67">
        <f>DSCR!T6</f>
        <v>0</v>
      </c>
      <c r="U62" s="67">
        <f>DSCR!U6</f>
        <v>0</v>
      </c>
      <c r="V62" s="674">
        <f>SUM(B62:O62)</f>
        <v>0</v>
      </c>
    </row>
    <row r="63" spans="1:22" s="83" customFormat="1" ht="17.25" hidden="1" customHeight="1" x14ac:dyDescent="0.25">
      <c r="A63" s="672" t="s">
        <v>306</v>
      </c>
      <c r="B63" s="86" t="e">
        <f>SUM(B57:B62)</f>
        <v>#REF!</v>
      </c>
      <c r="C63" s="86" t="e">
        <f t="shared" ref="C63:U63" si="12">SUM(C57:C62)</f>
        <v>#REF!</v>
      </c>
      <c r="D63" s="86" t="e">
        <f t="shared" si="12"/>
        <v>#REF!</v>
      </c>
      <c r="E63" s="86" t="e">
        <f t="shared" si="12"/>
        <v>#REF!</v>
      </c>
      <c r="F63" s="86" t="e">
        <f t="shared" si="12"/>
        <v>#REF!</v>
      </c>
      <c r="G63" s="86" t="e">
        <f t="shared" si="12"/>
        <v>#REF!</v>
      </c>
      <c r="H63" s="86" t="e">
        <f t="shared" si="12"/>
        <v>#REF!</v>
      </c>
      <c r="I63" s="86" t="e">
        <f t="shared" si="12"/>
        <v>#REF!</v>
      </c>
      <c r="J63" s="86" t="e">
        <f t="shared" si="12"/>
        <v>#REF!</v>
      </c>
      <c r="K63" s="86" t="e">
        <f t="shared" si="12"/>
        <v>#REF!</v>
      </c>
      <c r="L63" s="86" t="e">
        <f t="shared" si="12"/>
        <v>#REF!</v>
      </c>
      <c r="M63" s="86" t="e">
        <f t="shared" si="12"/>
        <v>#REF!</v>
      </c>
      <c r="N63" s="86" t="e">
        <f t="shared" si="12"/>
        <v>#REF!</v>
      </c>
      <c r="O63" s="86">
        <f t="shared" si="12"/>
        <v>0</v>
      </c>
      <c r="P63" s="86">
        <f t="shared" si="12"/>
        <v>0</v>
      </c>
      <c r="Q63" s="86">
        <f t="shared" si="12"/>
        <v>0</v>
      </c>
      <c r="R63" s="86">
        <f t="shared" si="12"/>
        <v>0</v>
      </c>
      <c r="S63" s="86">
        <f t="shared" si="12"/>
        <v>0</v>
      </c>
      <c r="T63" s="86">
        <f t="shared" si="12"/>
        <v>0</v>
      </c>
      <c r="U63" s="86">
        <f t="shared" si="12"/>
        <v>0</v>
      </c>
      <c r="V63" s="674"/>
    </row>
    <row r="64" spans="1:22" hidden="1" x14ac:dyDescent="0.25">
      <c r="A64" s="672" t="s">
        <v>306</v>
      </c>
      <c r="B64" s="67"/>
      <c r="C64" s="67"/>
      <c r="D64" s="67"/>
      <c r="E64" s="67"/>
      <c r="F64" s="67"/>
      <c r="G64" s="67"/>
      <c r="H64" s="67"/>
      <c r="I64" s="67"/>
      <c r="J64" s="67"/>
      <c r="K64" s="67"/>
      <c r="L64" s="67"/>
      <c r="M64" s="67"/>
      <c r="N64" s="67"/>
      <c r="O64" s="67"/>
      <c r="P64" s="67"/>
      <c r="Q64" s="67"/>
      <c r="R64" s="67"/>
      <c r="S64" s="67"/>
      <c r="T64" s="67"/>
      <c r="U64" s="67"/>
      <c r="V64" s="674"/>
    </row>
    <row r="65" spans="1:22" s="83" customFormat="1" hidden="1" x14ac:dyDescent="0.25">
      <c r="A65" s="672" t="s">
        <v>306</v>
      </c>
      <c r="B65" s="86" t="e">
        <f>B55-B63</f>
        <v>#REF!</v>
      </c>
      <c r="C65" s="86" t="e">
        <f t="shared" ref="C65:U65" si="13">C55-C63</f>
        <v>#REF!</v>
      </c>
      <c r="D65" s="86" t="e">
        <f t="shared" si="13"/>
        <v>#REF!</v>
      </c>
      <c r="E65" s="86" t="e">
        <f t="shared" si="13"/>
        <v>#REF!</v>
      </c>
      <c r="F65" s="86" t="e">
        <f t="shared" si="13"/>
        <v>#REF!</v>
      </c>
      <c r="G65" s="86" t="e">
        <f t="shared" si="13"/>
        <v>#REF!</v>
      </c>
      <c r="H65" s="86" t="e">
        <f t="shared" si="13"/>
        <v>#REF!</v>
      </c>
      <c r="I65" s="86" t="e">
        <f t="shared" si="13"/>
        <v>#REF!</v>
      </c>
      <c r="J65" s="86" t="e">
        <f t="shared" si="13"/>
        <v>#REF!</v>
      </c>
      <c r="K65" s="86" t="e">
        <f t="shared" si="13"/>
        <v>#REF!</v>
      </c>
      <c r="L65" s="86" t="e">
        <f t="shared" si="13"/>
        <v>#REF!</v>
      </c>
      <c r="M65" s="86" t="e">
        <f t="shared" si="13"/>
        <v>#REF!</v>
      </c>
      <c r="N65" s="86" t="e">
        <f t="shared" si="13"/>
        <v>#REF!</v>
      </c>
      <c r="O65" s="86" t="e">
        <f t="shared" si="13"/>
        <v>#REF!</v>
      </c>
      <c r="P65" s="86" t="e">
        <f t="shared" si="13"/>
        <v>#REF!</v>
      </c>
      <c r="Q65" s="86" t="e">
        <f t="shared" si="13"/>
        <v>#REF!</v>
      </c>
      <c r="R65" s="86" t="e">
        <f t="shared" si="13"/>
        <v>#REF!</v>
      </c>
      <c r="S65" s="86" t="e">
        <f t="shared" si="13"/>
        <v>#REF!</v>
      </c>
      <c r="T65" s="86" t="e">
        <f t="shared" si="13"/>
        <v>#REF!</v>
      </c>
      <c r="U65" s="86" t="e">
        <f t="shared" si="13"/>
        <v>#REF!</v>
      </c>
      <c r="V65" s="674"/>
    </row>
    <row r="66" spans="1:22" hidden="1" x14ac:dyDescent="0.25">
      <c r="A66" s="672" t="s">
        <v>306</v>
      </c>
      <c r="B66" s="67"/>
      <c r="C66" s="67"/>
      <c r="D66" s="67"/>
      <c r="E66" s="67"/>
      <c r="F66" s="67"/>
      <c r="G66" s="67"/>
      <c r="H66" s="67"/>
      <c r="I66" s="67"/>
      <c r="J66" s="67"/>
      <c r="K66" s="67"/>
      <c r="L66" s="67"/>
      <c r="M66" s="67"/>
      <c r="N66" s="67"/>
      <c r="O66" s="67"/>
      <c r="P66" s="67"/>
      <c r="Q66" s="67"/>
      <c r="R66" s="67"/>
      <c r="S66" s="67"/>
      <c r="T66" s="67"/>
      <c r="U66" s="67"/>
      <c r="V66" s="674"/>
    </row>
    <row r="67" spans="1:22" hidden="1" x14ac:dyDescent="0.25">
      <c r="A67" s="672" t="s">
        <v>306</v>
      </c>
      <c r="B67" s="68" t="e">
        <f>#REF!</f>
        <v>#REF!</v>
      </c>
      <c r="C67" s="68" t="e">
        <f>#REF!</f>
        <v>#REF!</v>
      </c>
      <c r="D67" s="68" t="e">
        <f>#REF!</f>
        <v>#REF!</v>
      </c>
      <c r="E67" s="68" t="e">
        <f>#REF!</f>
        <v>#REF!</v>
      </c>
      <c r="F67" s="68" t="e">
        <f>#REF!</f>
        <v>#REF!</v>
      </c>
      <c r="G67" s="68" t="e">
        <f>#REF!</f>
        <v>#REF!</v>
      </c>
      <c r="H67" s="68" t="e">
        <f>#REF!</f>
        <v>#REF!</v>
      </c>
      <c r="I67" s="68" t="e">
        <f>#REF!</f>
        <v>#REF!</v>
      </c>
      <c r="J67" s="68" t="e">
        <f>#REF!</f>
        <v>#REF!</v>
      </c>
      <c r="K67" s="68" t="e">
        <f>#REF!</f>
        <v>#REF!</v>
      </c>
      <c r="L67" s="68" t="e">
        <f>#REF!</f>
        <v>#REF!</v>
      </c>
      <c r="M67" s="68" t="e">
        <f>#REF!</f>
        <v>#REF!</v>
      </c>
      <c r="N67" s="68" t="e">
        <f>#REF!</f>
        <v>#REF!</v>
      </c>
      <c r="O67" s="68" t="e">
        <f>#REF!</f>
        <v>#REF!</v>
      </c>
      <c r="P67" s="68" t="e">
        <f>#REF!</f>
        <v>#REF!</v>
      </c>
      <c r="Q67" s="68" t="e">
        <f>#REF!</f>
        <v>#REF!</v>
      </c>
      <c r="R67" s="68" t="e">
        <f>#REF!</f>
        <v>#REF!</v>
      </c>
      <c r="S67" s="68" t="e">
        <f>#REF!</f>
        <v>#REF!</v>
      </c>
      <c r="T67" s="68" t="e">
        <f>#REF!</f>
        <v>#REF!</v>
      </c>
      <c r="U67" s="68" t="e">
        <f>#REF!</f>
        <v>#REF!</v>
      </c>
      <c r="V67" s="674"/>
    </row>
    <row r="68" spans="1:22" hidden="1" x14ac:dyDescent="0.25">
      <c r="A68" s="672" t="s">
        <v>306</v>
      </c>
      <c r="B68" s="90"/>
      <c r="C68" s="90"/>
      <c r="D68" s="90"/>
      <c r="E68" s="90"/>
      <c r="F68" s="90"/>
      <c r="G68" s="90"/>
      <c r="H68" s="90"/>
      <c r="I68" s="90"/>
      <c r="J68" s="90"/>
      <c r="K68" s="90"/>
      <c r="L68" s="90"/>
      <c r="M68" s="90"/>
      <c r="N68" s="90"/>
      <c r="O68" s="90"/>
      <c r="P68" s="90"/>
      <c r="Q68" s="90"/>
      <c r="R68" s="90"/>
      <c r="S68" s="90"/>
      <c r="T68" s="90"/>
      <c r="U68" s="90"/>
      <c r="V68" s="674"/>
    </row>
    <row r="69" spans="1:22" hidden="1" x14ac:dyDescent="0.25">
      <c r="A69" s="672" t="s">
        <v>306</v>
      </c>
      <c r="B69" s="90"/>
      <c r="C69" s="90"/>
      <c r="D69" s="90"/>
      <c r="E69" s="90"/>
      <c r="F69" s="90"/>
      <c r="G69" s="90"/>
      <c r="H69" s="90"/>
      <c r="I69" s="90"/>
      <c r="J69" s="90"/>
      <c r="K69" s="90"/>
      <c r="L69" s="90"/>
      <c r="M69" s="90"/>
      <c r="N69" s="90"/>
      <c r="O69" s="90"/>
      <c r="P69" s="90"/>
      <c r="Q69" s="90"/>
      <c r="R69" s="90"/>
      <c r="S69" s="90"/>
      <c r="T69" s="90"/>
      <c r="U69" s="90"/>
      <c r="V69" s="674"/>
    </row>
    <row r="70" spans="1:22" x14ac:dyDescent="0.25">
      <c r="A70" s="672" t="s">
        <v>306</v>
      </c>
      <c r="B70" s="80">
        <f>B2</f>
        <v>2020</v>
      </c>
      <c r="C70" s="80">
        <f t="shared" ref="C70:U70" si="14">C2</f>
        <v>2021</v>
      </c>
      <c r="D70" s="80">
        <f t="shared" si="14"/>
        <v>2022</v>
      </c>
      <c r="E70" s="80">
        <f t="shared" si="14"/>
        <v>2023</v>
      </c>
      <c r="F70" s="80">
        <f t="shared" si="14"/>
        <v>2024</v>
      </c>
      <c r="G70" s="80">
        <f t="shared" si="14"/>
        <v>2025</v>
      </c>
      <c r="H70" s="80">
        <f t="shared" si="14"/>
        <v>2026</v>
      </c>
      <c r="I70" s="80">
        <f t="shared" si="14"/>
        <v>2027</v>
      </c>
      <c r="J70" s="80">
        <f t="shared" si="14"/>
        <v>2028</v>
      </c>
      <c r="K70" s="80">
        <f t="shared" si="14"/>
        <v>2029</v>
      </c>
      <c r="L70" s="80">
        <f t="shared" si="14"/>
        <v>2030</v>
      </c>
      <c r="M70" s="80">
        <f t="shared" si="14"/>
        <v>2031</v>
      </c>
      <c r="N70" s="80">
        <f t="shared" si="14"/>
        <v>2032</v>
      </c>
      <c r="O70" s="80">
        <f t="shared" si="14"/>
        <v>2033</v>
      </c>
      <c r="P70" s="80">
        <f t="shared" si="14"/>
        <v>2034</v>
      </c>
      <c r="Q70" s="80">
        <f t="shared" si="14"/>
        <v>2035</v>
      </c>
      <c r="R70" s="80">
        <f t="shared" si="14"/>
        <v>2036</v>
      </c>
      <c r="S70" s="80">
        <f t="shared" si="14"/>
        <v>2037</v>
      </c>
      <c r="T70" s="80">
        <f t="shared" si="14"/>
        <v>2038</v>
      </c>
      <c r="U70" s="80">
        <f t="shared" si="14"/>
        <v>2039</v>
      </c>
      <c r="V70" s="674"/>
    </row>
    <row r="71" spans="1:22" s="83" customFormat="1" ht="15" customHeight="1" x14ac:dyDescent="0.25">
      <c r="A71" s="89" t="s">
        <v>371</v>
      </c>
      <c r="B71" s="67">
        <f>+B11</f>
        <v>0.8</v>
      </c>
      <c r="C71" s="67">
        <f t="shared" ref="C71:U71" si="15">+C11</f>
        <v>1.05</v>
      </c>
      <c r="D71" s="67">
        <f t="shared" si="15"/>
        <v>2.2000000000000002</v>
      </c>
      <c r="E71" s="67">
        <f t="shared" si="15"/>
        <v>4</v>
      </c>
      <c r="F71" s="67">
        <f t="shared" si="15"/>
        <v>22</v>
      </c>
      <c r="G71" s="67">
        <f t="shared" si="15"/>
        <v>34.880000000000003</v>
      </c>
      <c r="H71" s="67">
        <f t="shared" si="15"/>
        <v>41.82</v>
      </c>
      <c r="I71" s="67">
        <f t="shared" si="15"/>
        <v>44.59</v>
      </c>
      <c r="J71" s="67">
        <f t="shared" si="15"/>
        <v>48.46</v>
      </c>
      <c r="K71" s="67">
        <f t="shared" si="15"/>
        <v>52.28</v>
      </c>
      <c r="L71" s="67">
        <f t="shared" si="15"/>
        <v>56.25</v>
      </c>
      <c r="M71" s="67">
        <f t="shared" si="15"/>
        <v>0</v>
      </c>
      <c r="N71" s="67">
        <f t="shared" si="15"/>
        <v>0</v>
      </c>
      <c r="O71" s="67">
        <f t="shared" si="15"/>
        <v>0</v>
      </c>
      <c r="P71" s="67">
        <f t="shared" si="15"/>
        <v>0</v>
      </c>
      <c r="Q71" s="67">
        <f t="shared" si="15"/>
        <v>0</v>
      </c>
      <c r="R71" s="67">
        <f t="shared" si="15"/>
        <v>0</v>
      </c>
      <c r="S71" s="67">
        <f t="shared" si="15"/>
        <v>0</v>
      </c>
      <c r="T71" s="67">
        <f t="shared" si="15"/>
        <v>0</v>
      </c>
      <c r="U71" s="67">
        <f t="shared" si="15"/>
        <v>0</v>
      </c>
      <c r="V71" s="674"/>
    </row>
    <row r="72" spans="1:22" s="83" customFormat="1" ht="15" customHeight="1" x14ac:dyDescent="0.25">
      <c r="A72" s="89" t="s">
        <v>488</v>
      </c>
      <c r="B72" s="67">
        <f>+B23</f>
        <v>0.13</v>
      </c>
      <c r="C72" s="67">
        <f t="shared" ref="C72:U72" si="16">+C23</f>
        <v>0.15000000000000002</v>
      </c>
      <c r="D72" s="67">
        <f t="shared" si="16"/>
        <v>0.40000000000000013</v>
      </c>
      <c r="E72" s="67">
        <f t="shared" si="16"/>
        <v>0.33000000000000007</v>
      </c>
      <c r="F72" s="67">
        <f t="shared" si="16"/>
        <v>2.3900000000000006</v>
      </c>
      <c r="G72" s="67">
        <f t="shared" si="16"/>
        <v>5.1209999999999987</v>
      </c>
      <c r="H72" s="67">
        <f t="shared" si="16"/>
        <v>5.3109999999999999</v>
      </c>
      <c r="I72" s="67">
        <f t="shared" si="16"/>
        <v>5.1810000000000045</v>
      </c>
      <c r="J72" s="67">
        <f t="shared" si="16"/>
        <v>5.0409999999999968</v>
      </c>
      <c r="K72" s="67">
        <f t="shared" si="16"/>
        <v>4.9409999999999954</v>
      </c>
      <c r="L72" s="67">
        <f t="shared" si="16"/>
        <v>5.0110000000000028</v>
      </c>
      <c r="M72" s="67">
        <f t="shared" si="16"/>
        <v>0</v>
      </c>
      <c r="N72" s="67">
        <f t="shared" si="16"/>
        <v>0</v>
      </c>
      <c r="O72" s="67">
        <f t="shared" si="16"/>
        <v>0</v>
      </c>
      <c r="P72" s="67">
        <f t="shared" si="16"/>
        <v>0</v>
      </c>
      <c r="Q72" s="67">
        <f t="shared" si="16"/>
        <v>0</v>
      </c>
      <c r="R72" s="67">
        <f t="shared" si="16"/>
        <v>0</v>
      </c>
      <c r="S72" s="67">
        <f t="shared" si="16"/>
        <v>0</v>
      </c>
      <c r="T72" s="67">
        <f t="shared" si="16"/>
        <v>0</v>
      </c>
      <c r="U72" s="67">
        <f t="shared" si="16"/>
        <v>0</v>
      </c>
      <c r="V72" s="674"/>
    </row>
    <row r="73" spans="1:22" s="83" customFormat="1" ht="15" customHeight="1" x14ac:dyDescent="0.25">
      <c r="A73" s="89" t="s">
        <v>489</v>
      </c>
      <c r="B73" s="67">
        <f>+B33</f>
        <v>0.1</v>
      </c>
      <c r="C73" s="67">
        <f t="shared" ref="C73:U73" si="17">+C33</f>
        <v>0.13000000000000003</v>
      </c>
      <c r="D73" s="67">
        <f t="shared" si="17"/>
        <v>0.38000000000000012</v>
      </c>
      <c r="E73" s="67">
        <f t="shared" si="17"/>
        <v>0.31000000000000005</v>
      </c>
      <c r="F73" s="67">
        <f t="shared" si="17"/>
        <v>0.82000000000000051</v>
      </c>
      <c r="G73" s="67">
        <f t="shared" si="17"/>
        <v>1.7307249999999983</v>
      </c>
      <c r="H73" s="67">
        <f t="shared" si="17"/>
        <v>2.3448699999999989</v>
      </c>
      <c r="I73" s="67">
        <f t="shared" si="17"/>
        <v>2.6224675000000035</v>
      </c>
      <c r="J73" s="67">
        <f t="shared" si="17"/>
        <v>2.8786849999999959</v>
      </c>
      <c r="K73" s="67">
        <f t="shared" si="17"/>
        <v>3.1691499999999948</v>
      </c>
      <c r="L73" s="67">
        <f t="shared" si="17"/>
        <v>3.6418125000000021</v>
      </c>
      <c r="M73" s="67">
        <f t="shared" si="17"/>
        <v>0</v>
      </c>
      <c r="N73" s="67">
        <f t="shared" si="17"/>
        <v>0</v>
      </c>
      <c r="O73" s="67">
        <f t="shared" si="17"/>
        <v>0</v>
      </c>
      <c r="P73" s="67">
        <f t="shared" si="17"/>
        <v>0</v>
      </c>
      <c r="Q73" s="67">
        <f t="shared" si="17"/>
        <v>0</v>
      </c>
      <c r="R73" s="67">
        <f t="shared" si="17"/>
        <v>0</v>
      </c>
      <c r="S73" s="67">
        <f t="shared" si="17"/>
        <v>0</v>
      </c>
      <c r="T73" s="67">
        <f t="shared" si="17"/>
        <v>0</v>
      </c>
      <c r="U73" s="67">
        <f t="shared" si="17"/>
        <v>0</v>
      </c>
      <c r="V73" s="674"/>
    </row>
    <row r="74" spans="1:22" s="83" customFormat="1" ht="15" customHeight="1" x14ac:dyDescent="0.25">
      <c r="A74" s="89" t="s">
        <v>490</v>
      </c>
      <c r="B74" s="88">
        <f>+B39</f>
        <v>0.23076923076923078</v>
      </c>
      <c r="C74" s="88">
        <f t="shared" ref="C74:U74" si="18">+C39</f>
        <v>0.1333333333333333</v>
      </c>
      <c r="D74" s="88">
        <f t="shared" si="18"/>
        <v>4.9999999999999982E-2</v>
      </c>
      <c r="E74" s="88">
        <f t="shared" si="18"/>
        <v>6.0606060606060594E-2</v>
      </c>
      <c r="F74" s="88">
        <f t="shared" si="18"/>
        <v>0.65690376569037645</v>
      </c>
      <c r="G74" s="88">
        <f t="shared" si="18"/>
        <v>0.66203378246436262</v>
      </c>
      <c r="H74" s="88">
        <f t="shared" si="18"/>
        <v>0.55848804368292237</v>
      </c>
      <c r="I74" s="88">
        <f t="shared" si="18"/>
        <v>0.49382985910055954</v>
      </c>
      <c r="J74" s="88">
        <f t="shared" si="18"/>
        <v>0.42894564570521765</v>
      </c>
      <c r="K74" s="88">
        <f t="shared" si="18"/>
        <v>0.35860149767253641</v>
      </c>
      <c r="L74" s="88">
        <f t="shared" si="18"/>
        <v>0.27323637996407907</v>
      </c>
      <c r="M74" s="88" t="str">
        <f t="shared" si="18"/>
        <v/>
      </c>
      <c r="N74" s="88" t="str">
        <f t="shared" si="18"/>
        <v/>
      </c>
      <c r="O74" s="88" t="str">
        <f t="shared" si="18"/>
        <v/>
      </c>
      <c r="P74" s="88" t="str">
        <f t="shared" si="18"/>
        <v/>
      </c>
      <c r="Q74" s="88" t="str">
        <f t="shared" si="18"/>
        <v/>
      </c>
      <c r="R74" s="88" t="str">
        <f t="shared" si="18"/>
        <v/>
      </c>
      <c r="S74" s="88" t="str">
        <f t="shared" si="18"/>
        <v/>
      </c>
      <c r="T74" s="88" t="str">
        <f t="shared" si="18"/>
        <v/>
      </c>
      <c r="U74" s="88" t="str">
        <f t="shared" si="18"/>
        <v/>
      </c>
      <c r="V74" s="674"/>
    </row>
    <row r="75" spans="1:22" s="83" customFormat="1" ht="15" customHeight="1" x14ac:dyDescent="0.25">
      <c r="A75" s="89" t="s">
        <v>300</v>
      </c>
      <c r="B75" s="67" t="str">
        <f>B88</f>
        <v/>
      </c>
      <c r="C75" s="67" t="str">
        <f t="shared" ref="C75:U75" si="19">C88</f>
        <v/>
      </c>
      <c r="D75" s="67" t="str">
        <f t="shared" si="19"/>
        <v/>
      </c>
      <c r="E75" s="67" t="str">
        <f t="shared" si="19"/>
        <v/>
      </c>
      <c r="F75" s="67" t="str">
        <f t="shared" si="19"/>
        <v/>
      </c>
      <c r="G75" s="67">
        <f t="shared" si="19"/>
        <v>2.1834985961545286</v>
      </c>
      <c r="H75" s="67">
        <f t="shared" si="19"/>
        <v>2.0539946485733238</v>
      </c>
      <c r="I75" s="67">
        <f t="shared" si="19"/>
        <v>1.77534882032009</v>
      </c>
      <c r="J75" s="67">
        <f t="shared" si="19"/>
        <v>1.5596208871814068</v>
      </c>
      <c r="K75" s="67">
        <f t="shared" si="19"/>
        <v>1.4553148421686066</v>
      </c>
      <c r="L75" s="67">
        <f t="shared" si="19"/>
        <v>1.2522280144606235</v>
      </c>
      <c r="M75" s="67" t="str">
        <f t="shared" si="19"/>
        <v/>
      </c>
      <c r="N75" s="67" t="str">
        <f t="shared" si="19"/>
        <v/>
      </c>
      <c r="O75" s="67" t="str">
        <f t="shared" si="19"/>
        <v/>
      </c>
      <c r="P75" s="67" t="str">
        <f t="shared" si="19"/>
        <v/>
      </c>
      <c r="Q75" s="67" t="str">
        <f t="shared" si="19"/>
        <v/>
      </c>
      <c r="R75" s="67" t="str">
        <f t="shared" si="19"/>
        <v/>
      </c>
      <c r="S75" s="67" t="str">
        <f t="shared" si="19"/>
        <v/>
      </c>
      <c r="T75" s="67" t="str">
        <f t="shared" si="19"/>
        <v/>
      </c>
      <c r="U75" s="67" t="str">
        <f t="shared" si="19"/>
        <v/>
      </c>
      <c r="V75" s="674"/>
    </row>
    <row r="76" spans="1:22" s="83" customFormat="1" ht="15" customHeight="1" x14ac:dyDescent="0.25">
      <c r="A76" s="89" t="s">
        <v>838</v>
      </c>
      <c r="B76" s="221"/>
      <c r="C76" s="67"/>
      <c r="D76" s="67"/>
      <c r="E76" s="67"/>
      <c r="F76" s="221"/>
      <c r="G76" s="67"/>
      <c r="H76" s="221">
        <f>H89</f>
        <v>1.6709905389097808</v>
      </c>
      <c r="I76" s="67"/>
      <c r="J76" s="67"/>
      <c r="K76" s="67"/>
      <c r="L76" s="67"/>
      <c r="M76" s="67"/>
      <c r="N76" s="67"/>
      <c r="O76" s="67"/>
      <c r="P76" s="67"/>
      <c r="Q76" s="67"/>
      <c r="R76" s="67"/>
      <c r="S76" s="67"/>
      <c r="T76" s="67"/>
      <c r="U76" s="67"/>
      <c r="V76" s="674"/>
    </row>
    <row r="77" spans="1:22" x14ac:dyDescent="0.25">
      <c r="A77" s="673"/>
      <c r="B77" s="673"/>
      <c r="C77" s="673"/>
      <c r="D77" s="582"/>
      <c r="E77" s="582"/>
      <c r="F77" s="582"/>
      <c r="G77" s="582"/>
      <c r="H77" s="582"/>
      <c r="I77" s="582"/>
      <c r="J77" s="582"/>
      <c r="K77" s="582"/>
      <c r="L77" s="673"/>
      <c r="M77" s="673"/>
      <c r="N77" s="673"/>
      <c r="O77" s="673"/>
      <c r="P77" s="673"/>
      <c r="Q77" s="673"/>
      <c r="R77" s="673"/>
      <c r="S77" s="673"/>
      <c r="T77" s="673"/>
      <c r="U77" s="673"/>
      <c r="V77" s="674"/>
    </row>
    <row r="79" spans="1:22" hidden="1" x14ac:dyDescent="0.25">
      <c r="B79" s="91">
        <f>DSCR!B8</f>
        <v>2020</v>
      </c>
      <c r="C79" s="91">
        <f>DSCR!C8</f>
        <v>2021</v>
      </c>
      <c r="D79" s="91">
        <f>DSCR!D8</f>
        <v>2022</v>
      </c>
      <c r="E79" s="91">
        <f>DSCR!E8</f>
        <v>2023</v>
      </c>
      <c r="F79" s="91">
        <f>DSCR!F8</f>
        <v>2024</v>
      </c>
      <c r="G79" s="91">
        <f>DSCR!G8</f>
        <v>2025</v>
      </c>
      <c r="H79" s="91">
        <f>DSCR!H8</f>
        <v>2026</v>
      </c>
      <c r="I79" s="91">
        <f>DSCR!I8</f>
        <v>2027</v>
      </c>
      <c r="J79" s="91">
        <f>DSCR!J8</f>
        <v>2028</v>
      </c>
      <c r="K79" s="91">
        <f>DSCR!K8</f>
        <v>2029</v>
      </c>
      <c r="L79" s="91">
        <f>DSCR!L8</f>
        <v>2030</v>
      </c>
      <c r="M79" s="91">
        <f>DSCR!M8</f>
        <v>2031</v>
      </c>
      <c r="N79" s="91">
        <f>DSCR!N8</f>
        <v>2032</v>
      </c>
      <c r="O79" s="91">
        <f>DSCR!O8</f>
        <v>2033</v>
      </c>
      <c r="P79" s="91">
        <f>DSCR!P8</f>
        <v>2034</v>
      </c>
      <c r="Q79" s="91">
        <f>DSCR!Q8</f>
        <v>2035</v>
      </c>
      <c r="R79" s="91">
        <f>DSCR!R8</f>
        <v>2036</v>
      </c>
      <c r="S79" s="91">
        <f>DSCR!S8</f>
        <v>2037</v>
      </c>
      <c r="T79" s="91">
        <f>DSCR!T8</f>
        <v>2038</v>
      </c>
      <c r="U79" s="91">
        <f>DSCR!U8</f>
        <v>2039</v>
      </c>
    </row>
    <row r="80" spans="1:22" hidden="1" x14ac:dyDescent="0.25">
      <c r="A80" s="79" t="s">
        <v>835</v>
      </c>
      <c r="B80" s="91">
        <f>'Oper.St.'!C75</f>
        <v>9.9999999999999978E-2</v>
      </c>
      <c r="C80" s="91">
        <f>'Oper.St.'!D75</f>
        <v>0.13</v>
      </c>
      <c r="D80" s="91">
        <f>'Oper.St.'!E75</f>
        <v>0.38000000000000017</v>
      </c>
      <c r="E80" s="91">
        <f>'Oper.St.'!F75</f>
        <v>0.30999999999999983</v>
      </c>
      <c r="F80" s="91">
        <f>'Oper.St.'!G75</f>
        <v>0.8200000000000004</v>
      </c>
      <c r="G80" s="91">
        <f>'Oper.St.'!H75</f>
        <v>1.7307250000000023</v>
      </c>
      <c r="H80" s="91">
        <f>'Oper.St.'!I75</f>
        <v>2.3448700000000016</v>
      </c>
      <c r="I80" s="91">
        <f>'Oper.St.'!J75</f>
        <v>2.6224675</v>
      </c>
      <c r="J80" s="91">
        <f>'Oper.St.'!K75</f>
        <v>2.8786849999999942</v>
      </c>
      <c r="K80" s="91">
        <f>'Oper.St.'!L75</f>
        <v>3.169150000000001</v>
      </c>
      <c r="L80" s="91">
        <f>'Oper.St.'!M75</f>
        <v>3.6418124999999986</v>
      </c>
      <c r="M80" s="91">
        <f>'Oper.St.'!N75</f>
        <v>0</v>
      </c>
      <c r="N80" s="91">
        <f>'Oper.St.'!O75</f>
        <v>0</v>
      </c>
      <c r="O80" s="91">
        <f>'Oper.St.'!P75</f>
        <v>0</v>
      </c>
      <c r="P80" s="91">
        <f>'Oper.St.'!Q75</f>
        <v>0</v>
      </c>
      <c r="Q80" s="91">
        <f>'Oper.St.'!R75</f>
        <v>0</v>
      </c>
      <c r="R80" s="91">
        <f>'Oper.St.'!S75</f>
        <v>0</v>
      </c>
      <c r="S80" s="91">
        <f>'Oper.St.'!T75</f>
        <v>0</v>
      </c>
      <c r="T80" s="91">
        <f>'Oper.St.'!U75</f>
        <v>0</v>
      </c>
      <c r="U80" s="91">
        <f>'Oper.St.'!V75</f>
        <v>0</v>
      </c>
    </row>
    <row r="81" spans="1:21" hidden="1" x14ac:dyDescent="0.25">
      <c r="A81" s="79" t="s">
        <v>836</v>
      </c>
      <c r="B81" s="91">
        <f>B33</f>
        <v>0.1</v>
      </c>
      <c r="C81" s="91">
        <f t="shared" ref="C81:U81" si="20">C33</f>
        <v>0.13000000000000003</v>
      </c>
      <c r="D81" s="91">
        <f t="shared" si="20"/>
        <v>0.38000000000000012</v>
      </c>
      <c r="E81" s="91">
        <f t="shared" si="20"/>
        <v>0.31000000000000005</v>
      </c>
      <c r="F81" s="91">
        <f t="shared" si="20"/>
        <v>0.82000000000000051</v>
      </c>
      <c r="G81" s="91">
        <f t="shared" si="20"/>
        <v>1.7307249999999983</v>
      </c>
      <c r="H81" s="91">
        <f t="shared" si="20"/>
        <v>2.3448699999999989</v>
      </c>
      <c r="I81" s="91">
        <f t="shared" si="20"/>
        <v>2.6224675000000035</v>
      </c>
      <c r="J81" s="91">
        <f t="shared" si="20"/>
        <v>2.8786849999999959</v>
      </c>
      <c r="K81" s="91">
        <f t="shared" si="20"/>
        <v>3.1691499999999948</v>
      </c>
      <c r="L81" s="91">
        <f t="shared" si="20"/>
        <v>3.6418125000000021</v>
      </c>
      <c r="M81" s="91">
        <f t="shared" si="20"/>
        <v>0</v>
      </c>
      <c r="N81" s="91">
        <f t="shared" si="20"/>
        <v>0</v>
      </c>
      <c r="O81" s="91">
        <f t="shared" si="20"/>
        <v>0</v>
      </c>
      <c r="P81" s="91">
        <f t="shared" si="20"/>
        <v>0</v>
      </c>
      <c r="Q81" s="91">
        <f t="shared" si="20"/>
        <v>0</v>
      </c>
      <c r="R81" s="91">
        <f t="shared" si="20"/>
        <v>0</v>
      </c>
      <c r="S81" s="91">
        <f t="shared" si="20"/>
        <v>0</v>
      </c>
      <c r="T81" s="91">
        <f t="shared" si="20"/>
        <v>0</v>
      </c>
      <c r="U81" s="91">
        <f t="shared" si="20"/>
        <v>0</v>
      </c>
    </row>
    <row r="82" spans="1:21" hidden="1" x14ac:dyDescent="0.25">
      <c r="A82" s="79" t="s">
        <v>837</v>
      </c>
      <c r="B82" s="91">
        <f>B81-B80</f>
        <v>0</v>
      </c>
      <c r="C82" s="91">
        <f t="shared" ref="C82:U82" si="21">C81-C80</f>
        <v>0</v>
      </c>
      <c r="D82" s="91">
        <f t="shared" si="21"/>
        <v>0</v>
      </c>
      <c r="E82" s="91">
        <f t="shared" si="21"/>
        <v>0</v>
      </c>
      <c r="F82" s="91">
        <f t="shared" si="21"/>
        <v>0</v>
      </c>
      <c r="G82" s="91">
        <f t="shared" si="21"/>
        <v>-3.9968028886505635E-15</v>
      </c>
      <c r="H82" s="91">
        <f t="shared" si="21"/>
        <v>0</v>
      </c>
      <c r="I82" s="91">
        <f t="shared" si="21"/>
        <v>3.5527136788005009E-15</v>
      </c>
      <c r="J82" s="91">
        <f t="shared" si="21"/>
        <v>0</v>
      </c>
      <c r="K82" s="91">
        <f t="shared" si="21"/>
        <v>-6.2172489379008766E-15</v>
      </c>
      <c r="L82" s="91">
        <f t="shared" si="21"/>
        <v>3.5527136788005009E-15</v>
      </c>
      <c r="M82" s="91">
        <f t="shared" si="21"/>
        <v>0</v>
      </c>
      <c r="N82" s="91">
        <f t="shared" si="21"/>
        <v>0</v>
      </c>
      <c r="O82" s="91">
        <f t="shared" si="21"/>
        <v>0</v>
      </c>
      <c r="P82" s="91">
        <f t="shared" si="21"/>
        <v>0</v>
      </c>
      <c r="Q82" s="91">
        <f t="shared" si="21"/>
        <v>0</v>
      </c>
      <c r="R82" s="91">
        <f t="shared" si="21"/>
        <v>0</v>
      </c>
      <c r="S82" s="91">
        <f t="shared" si="21"/>
        <v>0</v>
      </c>
      <c r="T82" s="91">
        <f t="shared" si="21"/>
        <v>0</v>
      </c>
      <c r="U82" s="91">
        <f t="shared" si="21"/>
        <v>0</v>
      </c>
    </row>
    <row r="83" spans="1:21" hidden="1" x14ac:dyDescent="0.25">
      <c r="A83" s="200" t="s">
        <v>762</v>
      </c>
      <c r="B83" s="91" t="str">
        <f>IF(ISERROR(DSCR!B12+B82),"",DSCR!B12+B82)</f>
        <v/>
      </c>
      <c r="C83" s="91" t="str">
        <f>IF(ISERROR(DSCR!C12+C82),"",DSCR!C12+C82)</f>
        <v/>
      </c>
      <c r="D83" s="91" t="str">
        <f>IF(ISERROR(DSCR!D12+D82),"",DSCR!D12+D82)</f>
        <v/>
      </c>
      <c r="E83" s="91" t="str">
        <f>IF(ISERROR(DSCR!E12+E82),"",DSCR!E12+E82)</f>
        <v/>
      </c>
      <c r="F83" s="91" t="str">
        <f>IF(ISERROR(DSCR!F12+F82),"",DSCR!F12+F82)</f>
        <v/>
      </c>
      <c r="G83" s="91">
        <f>IF(ISERROR(DSCR!G12+G82),"",DSCR!G12+G82)</f>
        <v>3.6975074999999977</v>
      </c>
      <c r="H83" s="91">
        <f>IF(ISERROR(DSCR!H12+H82),"",DSCR!H12+H82)</f>
        <v>3.8074090000000012</v>
      </c>
      <c r="I83" s="91">
        <f>IF(ISERROR(DSCR!I12+I82),"",DSCR!I12+I82)</f>
        <v>3.7217272500000034</v>
      </c>
      <c r="J83" s="91">
        <f>IF(ISERROR(DSCR!J12+J82),"",DSCR!J12+J82)</f>
        <v>3.6610794999999956</v>
      </c>
      <c r="K83" s="91">
        <f>IF(ISERROR(DSCR!K12+K82),"",DSCR!K12+K82)</f>
        <v>3.6484049999999941</v>
      </c>
      <c r="L83" s="91">
        <f>IF(ISERROR(DSCR!L12+L82),"",DSCR!L12+L82)</f>
        <v>3.7892687500000024</v>
      </c>
      <c r="M83" s="91" t="str">
        <f>IF(ISERROR(DSCR!M12+M82),"",DSCR!M12+M82)</f>
        <v/>
      </c>
      <c r="N83" s="91" t="str">
        <f>IF(ISERROR(DSCR!N12+N82),"",DSCR!N12+N82)</f>
        <v/>
      </c>
      <c r="O83" s="91" t="str">
        <f>IF(ISERROR(DSCR!O12+O82),"",DSCR!O12+O82)</f>
        <v/>
      </c>
      <c r="P83" s="91" t="str">
        <f>IF(ISERROR(DSCR!P12+P82),"",DSCR!P12+P82)</f>
        <v/>
      </c>
      <c r="Q83" s="91" t="str">
        <f>IF(ISERROR(DSCR!Q12+Q82),"",DSCR!Q12+Q82)</f>
        <v/>
      </c>
      <c r="R83" s="91" t="str">
        <f>IF(ISERROR(DSCR!R12+R82),"",DSCR!R12+R82)</f>
        <v/>
      </c>
      <c r="S83" s="91" t="str">
        <f>IF(ISERROR(DSCR!S12+S82),"",DSCR!S12+S82)</f>
        <v/>
      </c>
      <c r="T83" s="91" t="str">
        <f>IF(ISERROR(DSCR!T12+T82),"",DSCR!T12+T82)</f>
        <v/>
      </c>
      <c r="U83" s="91" t="str">
        <f>IF(ISERROR(DSCR!U12+U82),"",DSCR!U12+U82)</f>
        <v/>
      </c>
    </row>
    <row r="84" spans="1:21" hidden="1" x14ac:dyDescent="0.25">
      <c r="A84" s="200" t="s">
        <v>761</v>
      </c>
      <c r="B84" s="91" t="str">
        <f t="shared" ref="B84:U84" si="22">IF(B86="","",B30)</f>
        <v/>
      </c>
      <c r="C84" s="91" t="str">
        <f t="shared" si="22"/>
        <v/>
      </c>
      <c r="D84" s="91" t="str">
        <f t="shared" si="22"/>
        <v/>
      </c>
      <c r="E84" s="91" t="str">
        <f t="shared" si="22"/>
        <v/>
      </c>
      <c r="F84" s="91" t="str">
        <f t="shared" si="22"/>
        <v/>
      </c>
      <c r="G84" s="91">
        <f t="shared" si="22"/>
        <v>0.91027500000000028</v>
      </c>
      <c r="H84" s="91">
        <f t="shared" si="22"/>
        <v>0.80613000000000079</v>
      </c>
      <c r="I84" s="91">
        <f t="shared" si="22"/>
        <v>0.67853250000000098</v>
      </c>
      <c r="J84" s="91">
        <f t="shared" si="22"/>
        <v>0.52231500000000097</v>
      </c>
      <c r="K84" s="91">
        <f t="shared" si="22"/>
        <v>0.34185000000000093</v>
      </c>
      <c r="L84" s="91">
        <f t="shared" si="22"/>
        <v>0.12918750000000087</v>
      </c>
      <c r="M84" s="91" t="str">
        <f t="shared" si="22"/>
        <v/>
      </c>
      <c r="N84" s="91" t="str">
        <f t="shared" si="22"/>
        <v/>
      </c>
      <c r="O84" s="91" t="str">
        <f t="shared" si="22"/>
        <v/>
      </c>
      <c r="P84" s="91" t="str">
        <f t="shared" si="22"/>
        <v/>
      </c>
      <c r="Q84" s="91" t="str">
        <f t="shared" si="22"/>
        <v/>
      </c>
      <c r="R84" s="91" t="str">
        <f t="shared" si="22"/>
        <v/>
      </c>
      <c r="S84" s="91" t="str">
        <f t="shared" si="22"/>
        <v/>
      </c>
      <c r="T84" s="91" t="str">
        <f t="shared" si="22"/>
        <v/>
      </c>
      <c r="U84" s="91" t="str">
        <f t="shared" si="22"/>
        <v/>
      </c>
    </row>
    <row r="85" spans="1:21" hidden="1" x14ac:dyDescent="0.25">
      <c r="A85" s="200" t="s">
        <v>496</v>
      </c>
      <c r="B85" s="91" t="str">
        <f>IF(ISERROR(B83+B84),"",B83+B84)</f>
        <v/>
      </c>
      <c r="C85" s="91" t="str">
        <f t="shared" ref="C85:U85" si="23">IF(ISERROR(C83+C84),"",C83+C84)</f>
        <v/>
      </c>
      <c r="D85" s="91" t="str">
        <f t="shared" si="23"/>
        <v/>
      </c>
      <c r="E85" s="91" t="str">
        <f t="shared" si="23"/>
        <v/>
      </c>
      <c r="F85" s="91" t="str">
        <f t="shared" si="23"/>
        <v/>
      </c>
      <c r="G85" s="91">
        <f t="shared" si="23"/>
        <v>4.6077824999999981</v>
      </c>
      <c r="H85" s="91">
        <f t="shared" si="23"/>
        <v>4.6135390000000021</v>
      </c>
      <c r="I85" s="91">
        <f t="shared" si="23"/>
        <v>4.4002597500000045</v>
      </c>
      <c r="J85" s="91">
        <f t="shared" si="23"/>
        <v>4.1833944999999968</v>
      </c>
      <c r="K85" s="91">
        <f t="shared" si="23"/>
        <v>3.990254999999995</v>
      </c>
      <c r="L85" s="91">
        <f t="shared" si="23"/>
        <v>3.9184562500000033</v>
      </c>
      <c r="M85" s="91" t="str">
        <f t="shared" si="23"/>
        <v/>
      </c>
      <c r="N85" s="91" t="str">
        <f t="shared" si="23"/>
        <v/>
      </c>
      <c r="O85" s="91" t="str">
        <f t="shared" si="23"/>
        <v/>
      </c>
      <c r="P85" s="91" t="str">
        <f t="shared" si="23"/>
        <v/>
      </c>
      <c r="Q85" s="91" t="str">
        <f t="shared" si="23"/>
        <v/>
      </c>
      <c r="R85" s="91" t="str">
        <f t="shared" si="23"/>
        <v/>
      </c>
      <c r="S85" s="91" t="str">
        <f t="shared" si="23"/>
        <v/>
      </c>
      <c r="T85" s="91" t="str">
        <f t="shared" si="23"/>
        <v/>
      </c>
      <c r="U85" s="91" t="str">
        <f t="shared" si="23"/>
        <v/>
      </c>
    </row>
    <row r="86" spans="1:21" hidden="1" x14ac:dyDescent="0.25">
      <c r="A86" s="220" t="s">
        <v>497</v>
      </c>
      <c r="B86" s="91" t="str">
        <f>DSCR!B15</f>
        <v/>
      </c>
      <c r="C86" s="91" t="str">
        <f>DSCR!C15</f>
        <v/>
      </c>
      <c r="D86" s="91" t="str">
        <f>DSCR!D15</f>
        <v/>
      </c>
      <c r="E86" s="91" t="str">
        <f>DSCR!E15</f>
        <v/>
      </c>
      <c r="F86" s="91" t="str">
        <f>DSCR!F15</f>
        <v/>
      </c>
      <c r="G86" s="91">
        <f>DSCR!G15</f>
        <v>1.2</v>
      </c>
      <c r="H86" s="91">
        <f>DSCR!H15</f>
        <v>1.4400000000000004</v>
      </c>
      <c r="I86" s="91">
        <f>DSCR!I15</f>
        <v>1.7999999999999996</v>
      </c>
      <c r="J86" s="91">
        <f>DSCR!J15</f>
        <v>2.1599999999999997</v>
      </c>
      <c r="K86" s="91">
        <f>DSCR!K15</f>
        <v>2.4</v>
      </c>
      <c r="L86" s="91">
        <f>DSCR!L15</f>
        <v>3</v>
      </c>
      <c r="M86" s="91" t="str">
        <f>DSCR!M15</f>
        <v/>
      </c>
      <c r="N86" s="91" t="str">
        <f>DSCR!N15</f>
        <v/>
      </c>
      <c r="O86" s="91" t="str">
        <f>DSCR!O15</f>
        <v/>
      </c>
      <c r="P86" s="91" t="str">
        <f>DSCR!P15</f>
        <v/>
      </c>
      <c r="Q86" s="91" t="str">
        <f>DSCR!Q15</f>
        <v/>
      </c>
      <c r="R86" s="91" t="str">
        <f>DSCR!R15</f>
        <v/>
      </c>
      <c r="S86" s="91" t="str">
        <f>DSCR!S15</f>
        <v/>
      </c>
      <c r="T86" s="91" t="str">
        <f>DSCR!T15</f>
        <v/>
      </c>
      <c r="U86" s="91" t="str">
        <f>DSCR!U15</f>
        <v/>
      </c>
    </row>
    <row r="87" spans="1:21" hidden="1" x14ac:dyDescent="0.25">
      <c r="A87" s="200" t="s">
        <v>498</v>
      </c>
      <c r="B87" s="91" t="str">
        <f>IF(ISERROR(B84+B86),"",B84+B86)</f>
        <v/>
      </c>
      <c r="C87" s="91" t="str">
        <f t="shared" ref="C87:U87" si="24">IF(ISERROR(C84+C86),"",C84+C86)</f>
        <v/>
      </c>
      <c r="D87" s="91" t="str">
        <f t="shared" si="24"/>
        <v/>
      </c>
      <c r="E87" s="91" t="str">
        <f t="shared" si="24"/>
        <v/>
      </c>
      <c r="F87" s="91" t="str">
        <f t="shared" si="24"/>
        <v/>
      </c>
      <c r="G87" s="91">
        <f t="shared" si="24"/>
        <v>2.1102750000000001</v>
      </c>
      <c r="H87" s="91">
        <f t="shared" si="24"/>
        <v>2.2461300000000013</v>
      </c>
      <c r="I87" s="91">
        <f t="shared" si="24"/>
        <v>2.4785325000000005</v>
      </c>
      <c r="J87" s="91">
        <f t="shared" si="24"/>
        <v>2.6823150000000009</v>
      </c>
      <c r="K87" s="91">
        <f t="shared" si="24"/>
        <v>2.7418500000000008</v>
      </c>
      <c r="L87" s="91">
        <f t="shared" si="24"/>
        <v>3.1291875000000009</v>
      </c>
      <c r="M87" s="91" t="str">
        <f t="shared" si="24"/>
        <v/>
      </c>
      <c r="N87" s="91" t="str">
        <f t="shared" si="24"/>
        <v/>
      </c>
      <c r="O87" s="91" t="str">
        <f t="shared" si="24"/>
        <v/>
      </c>
      <c r="P87" s="91" t="str">
        <f t="shared" si="24"/>
        <v/>
      </c>
      <c r="Q87" s="91" t="str">
        <f t="shared" si="24"/>
        <v/>
      </c>
      <c r="R87" s="91" t="str">
        <f t="shared" si="24"/>
        <v/>
      </c>
      <c r="S87" s="91" t="str">
        <f t="shared" si="24"/>
        <v/>
      </c>
      <c r="T87" s="91" t="str">
        <f t="shared" si="24"/>
        <v/>
      </c>
      <c r="U87" s="91" t="str">
        <f t="shared" si="24"/>
        <v/>
      </c>
    </row>
    <row r="88" spans="1:21" hidden="1" x14ac:dyDescent="0.25">
      <c r="A88" s="127" t="s">
        <v>783</v>
      </c>
      <c r="B88" s="91" t="str">
        <f>IF(ISERROR(B85/B87),"",IF(B86=0,"",B85/B87))</f>
        <v/>
      </c>
      <c r="C88" s="91" t="str">
        <f t="shared" ref="C88:U88" si="25">IF(ISERROR(C85/C87),"",IF(C86=0,"",C85/C87))</f>
        <v/>
      </c>
      <c r="D88" s="91" t="str">
        <f t="shared" si="25"/>
        <v/>
      </c>
      <c r="E88" s="91" t="str">
        <f t="shared" si="25"/>
        <v/>
      </c>
      <c r="F88" s="91" t="str">
        <f t="shared" si="25"/>
        <v/>
      </c>
      <c r="G88" s="91">
        <f t="shared" si="25"/>
        <v>2.1834985961545286</v>
      </c>
      <c r="H88" s="91">
        <f t="shared" si="25"/>
        <v>2.0539946485733238</v>
      </c>
      <c r="I88" s="91">
        <f t="shared" si="25"/>
        <v>1.77534882032009</v>
      </c>
      <c r="J88" s="91">
        <f t="shared" si="25"/>
        <v>1.5596208871814068</v>
      </c>
      <c r="K88" s="91">
        <f t="shared" si="25"/>
        <v>1.4553148421686066</v>
      </c>
      <c r="L88" s="91">
        <f t="shared" si="25"/>
        <v>1.2522280144606235</v>
      </c>
      <c r="M88" s="91" t="str">
        <f t="shared" si="25"/>
        <v/>
      </c>
      <c r="N88" s="91" t="str">
        <f t="shared" si="25"/>
        <v/>
      </c>
      <c r="O88" s="91" t="str">
        <f t="shared" si="25"/>
        <v/>
      </c>
      <c r="P88" s="91" t="str">
        <f t="shared" si="25"/>
        <v/>
      </c>
      <c r="Q88" s="91" t="str">
        <f t="shared" si="25"/>
        <v/>
      </c>
      <c r="R88" s="91" t="str">
        <f t="shared" si="25"/>
        <v/>
      </c>
      <c r="S88" s="91" t="str">
        <f t="shared" si="25"/>
        <v/>
      </c>
      <c r="T88" s="91" t="str">
        <f t="shared" si="25"/>
        <v/>
      </c>
      <c r="U88" s="91" t="str">
        <f t="shared" si="25"/>
        <v/>
      </c>
    </row>
    <row r="89" spans="1:21" hidden="1" x14ac:dyDescent="0.25">
      <c r="A89" s="127" t="s">
        <v>301</v>
      </c>
      <c r="B89" s="91"/>
      <c r="C89" s="91"/>
      <c r="H89" s="91">
        <f>SUM(B85:U85)/SUM(B87:U87)</f>
        <v>1.6709905389097808</v>
      </c>
      <c r="L89" s="91"/>
      <c r="M89" s="91"/>
      <c r="N89" s="91"/>
      <c r="O89" s="91"/>
      <c r="P89" s="91"/>
      <c r="Q89" s="91"/>
      <c r="R89" s="91"/>
      <c r="S89" s="91"/>
      <c r="T89" s="91"/>
      <c r="U89" s="91"/>
    </row>
    <row r="90" spans="1:21" hidden="1" x14ac:dyDescent="0.25">
      <c r="A90" s="126" t="s">
        <v>302</v>
      </c>
      <c r="B90" s="91" t="str">
        <f>IF(ISERROR(B83/B86),"",IF(B86=0,"",B83/B86))</f>
        <v/>
      </c>
      <c r="C90" s="91" t="str">
        <f t="shared" ref="C90:U90" si="26">IF(ISERROR(C83/C86),"",IF(C86=0,"",C83/C86))</f>
        <v/>
      </c>
      <c r="D90" s="91" t="str">
        <f t="shared" si="26"/>
        <v/>
      </c>
      <c r="E90" s="91" t="str">
        <f t="shared" si="26"/>
        <v/>
      </c>
      <c r="F90" s="91" t="str">
        <f t="shared" si="26"/>
        <v/>
      </c>
      <c r="G90" s="91">
        <f t="shared" si="26"/>
        <v>3.0812562499999983</v>
      </c>
      <c r="H90" s="91">
        <f t="shared" si="26"/>
        <v>2.6440340277777779</v>
      </c>
      <c r="I90" s="91">
        <f t="shared" si="26"/>
        <v>2.0676262500000022</v>
      </c>
      <c r="J90" s="91">
        <f t="shared" si="26"/>
        <v>1.6949442129629613</v>
      </c>
      <c r="K90" s="91">
        <f t="shared" si="26"/>
        <v>1.5201687499999976</v>
      </c>
      <c r="L90" s="91">
        <f t="shared" si="26"/>
        <v>1.2630895833333342</v>
      </c>
      <c r="M90" s="91" t="str">
        <f t="shared" si="26"/>
        <v/>
      </c>
      <c r="N90" s="91" t="str">
        <f t="shared" si="26"/>
        <v/>
      </c>
      <c r="O90" s="91" t="str">
        <f t="shared" si="26"/>
        <v/>
      </c>
      <c r="P90" s="91" t="str">
        <f t="shared" si="26"/>
        <v/>
      </c>
      <c r="Q90" s="91" t="str">
        <f t="shared" si="26"/>
        <v/>
      </c>
      <c r="R90" s="91" t="str">
        <f t="shared" si="26"/>
        <v/>
      </c>
      <c r="S90" s="91" t="str">
        <f t="shared" si="26"/>
        <v/>
      </c>
      <c r="T90" s="91" t="str">
        <f t="shared" si="26"/>
        <v/>
      </c>
      <c r="U90" s="91" t="str">
        <f t="shared" si="26"/>
        <v/>
      </c>
    </row>
    <row r="91" spans="1:21" hidden="1" x14ac:dyDescent="0.25">
      <c r="A91" s="127" t="s">
        <v>36</v>
      </c>
      <c r="B91" s="91"/>
      <c r="C91" s="91"/>
      <c r="H91" s="91">
        <f>SUM(B83:U83)/SUM(B86:U86)</f>
        <v>1.8604497499999992</v>
      </c>
      <c r="L91" s="91"/>
      <c r="M91" s="91"/>
      <c r="N91" s="91"/>
      <c r="O91" s="91"/>
      <c r="P91" s="91"/>
      <c r="Q91" s="91"/>
      <c r="R91" s="91"/>
      <c r="S91" s="91"/>
      <c r="T91" s="91"/>
      <c r="U91" s="91"/>
    </row>
  </sheetData>
  <protectedRanges>
    <protectedRange sqref="B5:B8 B12 B10 B3:U3" name="Range3"/>
    <protectedRange sqref="B24" name="Range4"/>
  </protectedRanges>
  <mergeCells count="8">
    <mergeCell ref="A1:V1"/>
    <mergeCell ref="A22:U22"/>
    <mergeCell ref="B36:U36"/>
    <mergeCell ref="B42:U42"/>
    <mergeCell ref="C10:U10"/>
    <mergeCell ref="C12:U12"/>
    <mergeCell ref="C24:U24"/>
    <mergeCell ref="A34:V34"/>
  </mergeCells>
  <phoneticPr fontId="30" type="noConversion"/>
  <conditionalFormatting sqref="B33:U33">
    <cfRule type="cellIs" dxfId="46" priority="1" stopIfTrue="1" operator="lessThan">
      <formula>0</formula>
    </cfRule>
  </conditionalFormatting>
  <pageMargins left="0.7" right="0.7" top="0.75" bottom="0.75" header="0.3" footer="0.3"/>
  <pageSetup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0"/>
  <dimension ref="A1:W56"/>
  <sheetViews>
    <sheetView topLeftCell="A10" workbookViewId="0">
      <selection activeCell="F1" sqref="F1"/>
    </sheetView>
  </sheetViews>
  <sheetFormatPr defaultRowHeight="12.75" x14ac:dyDescent="0.2"/>
  <cols>
    <col min="1" max="1" width="31.140625" customWidth="1"/>
    <col min="3" max="4" width="10.28515625" bestFit="1" customWidth="1"/>
  </cols>
  <sheetData>
    <row r="1" spans="1:22" s="258" customFormat="1" ht="15" customHeight="1" x14ac:dyDescent="0.25">
      <c r="A1" s="620" t="s">
        <v>1033</v>
      </c>
      <c r="B1" s="610"/>
      <c r="C1" s="610"/>
      <c r="D1" s="610"/>
      <c r="E1" s="610"/>
      <c r="F1" s="610"/>
      <c r="G1" s="610"/>
      <c r="H1" s="610"/>
      <c r="I1" s="610"/>
      <c r="J1" s="610"/>
      <c r="K1" s="610"/>
      <c r="L1" s="610"/>
      <c r="M1" s="610"/>
      <c r="N1" s="610"/>
      <c r="O1" s="610"/>
      <c r="P1" s="610"/>
      <c r="Q1" s="610"/>
      <c r="R1" s="610"/>
      <c r="S1" s="610"/>
      <c r="T1" s="610"/>
      <c r="U1" s="610"/>
      <c r="V1" s="893"/>
    </row>
    <row r="2" spans="1:22" s="258" customFormat="1" ht="15" customHeight="1" x14ac:dyDescent="0.25">
      <c r="A2" s="923" t="s">
        <v>1042</v>
      </c>
      <c r="B2" s="1130"/>
      <c r="C2" s="1131"/>
      <c r="D2" s="892"/>
      <c r="E2" s="892"/>
      <c r="F2" s="892"/>
      <c r="G2" s="892"/>
      <c r="H2" s="892"/>
      <c r="I2" s="892"/>
      <c r="J2" s="892"/>
      <c r="K2" s="892"/>
      <c r="L2" s="892"/>
      <c r="M2" s="892"/>
      <c r="N2" s="892"/>
      <c r="O2" s="892"/>
      <c r="P2" s="892"/>
      <c r="Q2" s="892"/>
      <c r="R2" s="892"/>
      <c r="S2" s="892"/>
      <c r="T2" s="892"/>
      <c r="U2" s="892"/>
      <c r="V2" s="893"/>
    </row>
    <row r="3" spans="1:22" s="297" customFormat="1" ht="12.75" customHeight="1" x14ac:dyDescent="0.25">
      <c r="A3" s="296"/>
      <c r="B3" s="261">
        <f>'Ratio New'!B158</f>
        <v>2020</v>
      </c>
      <c r="C3" s="261">
        <f>'Ratio New'!C158</f>
        <v>2021</v>
      </c>
      <c r="D3" s="261">
        <f>'Ratio New'!D158</f>
        <v>2022</v>
      </c>
      <c r="E3" s="261">
        <f>'Ratio New'!E158</f>
        <v>2023</v>
      </c>
      <c r="F3" s="261">
        <f>'Ratio New'!F158</f>
        <v>2024</v>
      </c>
      <c r="G3" s="261">
        <f>'Ratio New'!G158</f>
        <v>2025</v>
      </c>
      <c r="H3" s="261">
        <f>'Ratio New'!H158</f>
        <v>2026</v>
      </c>
      <c r="I3" s="261">
        <f>'Ratio New'!I158</f>
        <v>2027</v>
      </c>
      <c r="J3" s="261">
        <f>'Ratio New'!J158</f>
        <v>2028</v>
      </c>
      <c r="K3" s="261">
        <f>'Ratio New'!K158</f>
        <v>2029</v>
      </c>
      <c r="L3" s="261">
        <f>'Ratio New'!L158</f>
        <v>2030</v>
      </c>
      <c r="M3" s="261">
        <f>'Ratio New'!M158</f>
        <v>2031</v>
      </c>
      <c r="N3" s="261">
        <f>'Ratio New'!N158</f>
        <v>2032</v>
      </c>
      <c r="O3" s="261">
        <f>'Ratio New'!O158</f>
        <v>2033</v>
      </c>
      <c r="P3" s="261">
        <f>'Ratio New'!P158</f>
        <v>2034</v>
      </c>
      <c r="Q3" s="261">
        <f>'Ratio New'!Q158</f>
        <v>2035</v>
      </c>
      <c r="R3" s="261">
        <f>'Ratio New'!R158</f>
        <v>2036</v>
      </c>
      <c r="S3" s="261">
        <f>'Ratio New'!S158</f>
        <v>2037</v>
      </c>
      <c r="T3" s="261">
        <f>'Ratio New'!T158</f>
        <v>2038</v>
      </c>
      <c r="U3" s="261">
        <f>'Ratio New'!U158</f>
        <v>2039</v>
      </c>
      <c r="V3" s="894"/>
    </row>
    <row r="4" spans="1:22" s="297" customFormat="1" ht="12.75" customHeight="1" x14ac:dyDescent="0.25">
      <c r="A4" s="296"/>
      <c r="B4" s="261" t="str">
        <f>'Ratio New'!B159</f>
        <v>AUD.</v>
      </c>
      <c r="C4" s="261" t="str">
        <f>'Ratio New'!C159</f>
        <v>AUD.</v>
      </c>
      <c r="D4" s="261" t="str">
        <f>'Ratio New'!D159</f>
        <v>AUD.</v>
      </c>
      <c r="E4" s="261" t="str">
        <f>'Ratio New'!E159</f>
        <v>EST.</v>
      </c>
      <c r="F4" s="261" t="str">
        <f>'Ratio New'!F159</f>
        <v>PROJ.</v>
      </c>
      <c r="G4" s="261" t="str">
        <f>'Ratio New'!G159</f>
        <v>PROJ.</v>
      </c>
      <c r="H4" s="261" t="str">
        <f>'Ratio New'!H159</f>
        <v>PROJ.</v>
      </c>
      <c r="I4" s="261" t="str">
        <f>'Ratio New'!I159</f>
        <v>PROJ.</v>
      </c>
      <c r="J4" s="261" t="str">
        <f>'Ratio New'!J159</f>
        <v>PROJ.</v>
      </c>
      <c r="K4" s="261" t="str">
        <f>'Ratio New'!K159</f>
        <v>PROJ.</v>
      </c>
      <c r="L4" s="261" t="str">
        <f>'Ratio New'!L159</f>
        <v>PROJ.</v>
      </c>
      <c r="M4" s="261" t="str">
        <f>'Ratio New'!M159</f>
        <v>PROJ.</v>
      </c>
      <c r="N4" s="261" t="str">
        <f>'Ratio New'!N159</f>
        <v>PROJ.</v>
      </c>
      <c r="O4" s="261" t="str">
        <f>'Ratio New'!O159</f>
        <v>PROJ.</v>
      </c>
      <c r="P4" s="261" t="str">
        <f>'Ratio New'!P159</f>
        <v>PROJ.</v>
      </c>
      <c r="Q4" s="261" t="str">
        <f>'Ratio New'!Q159</f>
        <v>PROJ.</v>
      </c>
      <c r="R4" s="261" t="str">
        <f>'Ratio New'!R159</f>
        <v>PROJ.</v>
      </c>
      <c r="S4" s="261" t="str">
        <f>'Ratio New'!S159</f>
        <v>PROJ.</v>
      </c>
      <c r="T4" s="261" t="str">
        <f>'Ratio New'!T159</f>
        <v>PROJ.</v>
      </c>
      <c r="U4" s="261" t="str">
        <f>'Ratio New'!U159</f>
        <v>PROJ.</v>
      </c>
      <c r="V4" s="894"/>
    </row>
    <row r="5" spans="1:22" s="258" customFormat="1" ht="14.25" x14ac:dyDescent="0.2">
      <c r="A5" s="287" t="s">
        <v>418</v>
      </c>
      <c r="B5" s="256">
        <f>IF(ISERROR('Ratio New'!B160*(100%+B16)),"",IF('Ratio New'!B160*(100%+B16)=0,"",'Ratio New'!B160*(100%+B16)))</f>
        <v>0.21000000000000002</v>
      </c>
      <c r="C5" s="256">
        <f>IF(ISERROR('Ratio New'!C160*(100%+C16)),"",IF('Ratio New'!C160*(100%+C16)=0,"",'Ratio New'!C160*(100%+C16)))</f>
        <v>0.37000000000000005</v>
      </c>
      <c r="D5" s="256">
        <f>IF(ISERROR('Ratio New'!D160*(100%+D16)),"",IF('Ratio New'!D160*(100%+D16)=0,"",'Ratio New'!D160*(100%+D16)))</f>
        <v>0.69</v>
      </c>
      <c r="E5" s="256">
        <f>IF(ISERROR('Ratio New'!E160*(100%+E16)),"",IF('Ratio New'!E160*(100%+E16)=0,"",'Ratio New'!E160*(100%+E16)))</f>
        <v>1.0699999999999998</v>
      </c>
      <c r="F5" s="256">
        <f>IF(ISERROR('Ratio New'!F160*(100%+F16)),"",IF('Ratio New'!F160*(100%+F16)=0,"",'Ratio New'!F160*(100%+F16)))</f>
        <v>6.3599999999999994</v>
      </c>
      <c r="G5" s="256">
        <f>IF(ISERROR('Ratio New'!G160*(100%+G16)),"",IF('Ratio New'!G160*(100%+G16)=0,"",'Ratio New'!G160*(100%+G16)))</f>
        <v>9.5449131250000008</v>
      </c>
      <c r="H5" s="256">
        <f>IF(ISERROR('Ratio New'!H160*(100%+H16)),"",IF('Ratio New'!H160*(100%+H16)=0,"",'Ratio New'!H160*(100%+H16)))</f>
        <v>12.09309575</v>
      </c>
      <c r="I5" s="256">
        <f>IF(ISERROR('Ratio New'!I160*(100%+I16)),"",IF('Ratio New'!I160*(100%+I16)=0,"",'Ratio New'!I160*(100%+I16)))</f>
        <v>13.575555187500001</v>
      </c>
      <c r="J5" s="256">
        <f>IF(ISERROR('Ratio New'!J160*(100%+J16)),"",IF('Ratio New'!J160*(100%+J16)=0,"",'Ratio New'!J160*(100%+J16)))</f>
        <v>14.913204124999998</v>
      </c>
      <c r="K5" s="256">
        <f>IF(ISERROR('Ratio New'!K160*(100%+K16)),"",IF('Ratio New'!K160*(100%+K16)=0,"",'Ratio New'!K160*(100%+K16)))</f>
        <v>16.003058750000001</v>
      </c>
      <c r="L5" s="256">
        <f>IF(ISERROR('Ratio New'!L160*(100%+L16)),"",IF('Ratio New'!L160*(100%+L16)=0,"",'Ratio New'!L160*(100%+L16)))</f>
        <v>16.699407812500002</v>
      </c>
      <c r="M5" s="256" t="str">
        <f>IF(ISERROR('Ratio New'!M160*(100%+M16)),"",IF('Ratio New'!M160*(100%+M16)=0,"",'Ratio New'!M160*(100%+M16)))</f>
        <v/>
      </c>
      <c r="N5" s="256" t="str">
        <f>IF(ISERROR('Ratio New'!N160*(100%+N16)),"",IF('Ratio New'!N160*(100%+N16)=0,"",'Ratio New'!N160*(100%+N16)))</f>
        <v/>
      </c>
      <c r="O5" s="256" t="str">
        <f>IF(ISERROR('Ratio New'!O160*(100%+O16)),"",IF('Ratio New'!O160*(100%+O16)=0,"",'Ratio New'!O160*(100%+O16)))</f>
        <v/>
      </c>
      <c r="P5" s="256" t="str">
        <f>IF(ISERROR('Ratio New'!P160*(100%+P16)),"",IF('Ratio New'!P160*(100%+P16)=0,"",'Ratio New'!P160*(100%+P16)))</f>
        <v/>
      </c>
      <c r="Q5" s="256" t="str">
        <f>IF(ISERROR('Ratio New'!Q160*(100%+Q16)),"",IF('Ratio New'!Q160*(100%+Q16)=0,"",'Ratio New'!Q160*(100%+Q16)))</f>
        <v/>
      </c>
      <c r="R5" s="256" t="str">
        <f>IF(ISERROR('Ratio New'!R160*(100%+R16)),"",IF('Ratio New'!R160*(100%+R16)=0,"",'Ratio New'!R160*(100%+R16)))</f>
        <v/>
      </c>
      <c r="S5" s="256" t="str">
        <f>IF(ISERROR('Ratio New'!S160*(100%+S16)),"",IF('Ratio New'!S160*(100%+S16)=0,"",'Ratio New'!S160*(100%+S16)))</f>
        <v/>
      </c>
      <c r="T5" s="256" t="str">
        <f>IF(ISERROR('Ratio New'!T160*(100%+T16)),"",IF('Ratio New'!T160*(100%+T16)=0,"",'Ratio New'!T160*(100%+T16)))</f>
        <v/>
      </c>
      <c r="U5" s="256" t="str">
        <f>IF(ISERROR('Ratio New'!U160*(100%+U16)),"",IF('Ratio New'!U160*(100%+U16)=0,"",'Ratio New'!U160*(100%+U16)))</f>
        <v/>
      </c>
      <c r="V5" s="893"/>
    </row>
    <row r="6" spans="1:22" s="258" customFormat="1" ht="14.25" x14ac:dyDescent="0.2">
      <c r="A6" s="287" t="s">
        <v>419</v>
      </c>
      <c r="B6" s="256">
        <f>IF(ISERROR('Ratio New'!B161*(100%+B17)),"",IF('Ratio New'!B161*(100%+B17)=0,"",'Ratio New'!B161*(100%+B17)))</f>
        <v>0.16</v>
      </c>
      <c r="C6" s="256">
        <f>IF(ISERROR('Ratio New'!C161*(100%+C17)),"",IF('Ratio New'!C161*(100%+C17)=0,"",'Ratio New'!C161*(100%+C17)))</f>
        <v>0.15</v>
      </c>
      <c r="D6" s="256">
        <f>IF(ISERROR('Ratio New'!D161*(100%+D17)),"",IF('Ratio New'!D161*(100%+D17)=0,"",'Ratio New'!D161*(100%+D17)))</f>
        <v>1.2500000000000002</v>
      </c>
      <c r="E6" s="256">
        <f>IF(ISERROR('Ratio New'!E161*(100%+E17)),"",IF('Ratio New'!E161*(100%+E17)=0,"",'Ratio New'!E161*(100%+E17)))</f>
        <v>1.6829999999999998</v>
      </c>
      <c r="F6" s="256">
        <f>IF(ISERROR('Ratio New'!F161*(100%+F17)),"",IF('Ratio New'!F161*(100%+F17)=0,"",'Ratio New'!F161*(100%+F17)))</f>
        <v>2.64</v>
      </c>
      <c r="G6" s="256">
        <f>IF(ISERROR('Ratio New'!G161*(100%+G17)),"",IF('Ratio New'!G161*(100%+G17)=0,"",'Ratio New'!G161*(100%+G17)))</f>
        <v>3.5932175000000011</v>
      </c>
      <c r="H6" s="256">
        <f>IF(ISERROR('Ratio New'!H161*(100%+H17)),"",IF('Ratio New'!H161*(100%+H17)=0,"",'Ratio New'!H161*(100%+H17)))</f>
        <v>4.1474609999999998</v>
      </c>
      <c r="I6" s="256">
        <f>IF(ISERROR('Ratio New'!I161*(100%+I17)),"",IF('Ratio New'!I161*(100%+I17)=0,"",'Ratio New'!I161*(100%+I17)))</f>
        <v>4.0707402500000001</v>
      </c>
      <c r="J6" s="256">
        <f>IF(ISERROR('Ratio New'!J161*(100%+J17)),"",IF('Ratio New'!J161*(100%+J17)=0,"",'Ratio New'!J161*(100%+J17)))</f>
        <v>4.1476054999999983</v>
      </c>
      <c r="K6" s="256">
        <f>IF(ISERROR('Ratio New'!K161*(100%+K17)),"",IF('Ratio New'!K161*(100%+K17)=0,"",'Ratio New'!K161*(100%+K17)))</f>
        <v>4.5907450000000001</v>
      </c>
      <c r="L6" s="256">
        <f>IF(ISERROR('Ratio New'!L161*(100%+L17)),"",IF('Ratio New'!L161*(100%+L17)=0,"",'Ratio New'!L161*(100%+L17)))</f>
        <v>1.4925437499999994</v>
      </c>
      <c r="M6" s="256" t="str">
        <f>IF(ISERROR('Ratio New'!M161*(100%+M17)),"",IF('Ratio New'!M161*(100%+M17)=0,"",'Ratio New'!M161*(100%+M17)))</f>
        <v/>
      </c>
      <c r="N6" s="256" t="str">
        <f>IF(ISERROR('Ratio New'!N161*(100%+N17)),"",IF('Ratio New'!N161*(100%+N17)=0,"",'Ratio New'!N161*(100%+N17)))</f>
        <v/>
      </c>
      <c r="O6" s="256" t="str">
        <f>IF(ISERROR('Ratio New'!O161*(100%+O17)),"",IF('Ratio New'!O161*(100%+O17)=0,"",'Ratio New'!O161*(100%+O17)))</f>
        <v/>
      </c>
      <c r="P6" s="256" t="str">
        <f>IF(ISERROR('Ratio New'!P161*(100%+P17)),"",IF('Ratio New'!P161*(100%+P17)=0,"",'Ratio New'!P161*(100%+P17)))</f>
        <v/>
      </c>
      <c r="Q6" s="256" t="str">
        <f>IF(ISERROR('Ratio New'!Q161*(100%+Q17)),"",IF('Ratio New'!Q161*(100%+Q17)=0,"",'Ratio New'!Q161*(100%+Q17)))</f>
        <v/>
      </c>
      <c r="R6" s="256" t="str">
        <f>IF(ISERROR('Ratio New'!R161*(100%+R17)),"",IF('Ratio New'!R161*(100%+R17)=0,"",'Ratio New'!R161*(100%+R17)))</f>
        <v/>
      </c>
      <c r="S6" s="256" t="str">
        <f>IF(ISERROR('Ratio New'!S161*(100%+S17)),"",IF('Ratio New'!S161*(100%+S17)=0,"",'Ratio New'!S161*(100%+S17)))</f>
        <v/>
      </c>
      <c r="T6" s="256" t="str">
        <f>IF(ISERROR('Ratio New'!T161*(100%+T17)),"",IF('Ratio New'!T161*(100%+T17)=0,"",'Ratio New'!T161*(100%+T17)))</f>
        <v/>
      </c>
      <c r="U6" s="256" t="str">
        <f>IF(ISERROR('Ratio New'!U161*(100%+U17)),"",IF('Ratio New'!U161*(100%+U17)=0,"",'Ratio New'!U161*(100%+U17)))</f>
        <v/>
      </c>
      <c r="V6" s="893"/>
    </row>
    <row r="7" spans="1:22" s="258" customFormat="1" ht="14.25" x14ac:dyDescent="0.2">
      <c r="A7" s="287" t="s">
        <v>420</v>
      </c>
      <c r="B7" s="256">
        <f>IF(ISERROR(B5-B6),"",IF(B5-B6=0,"",B5-B6))</f>
        <v>5.0000000000000017E-2</v>
      </c>
      <c r="C7" s="256">
        <f t="shared" ref="C7:U7" si="0">IF(ISERROR(C5-C6),"",IF(C5-C6=0,"",C5-C6))</f>
        <v>0.22000000000000006</v>
      </c>
      <c r="D7" s="256">
        <f t="shared" si="0"/>
        <v>-0.56000000000000028</v>
      </c>
      <c r="E7" s="256">
        <f t="shared" si="0"/>
        <v>-0.61299999999999999</v>
      </c>
      <c r="F7" s="256">
        <f t="shared" si="0"/>
        <v>3.7199999999999993</v>
      </c>
      <c r="G7" s="256">
        <f t="shared" si="0"/>
        <v>5.9516956249999993</v>
      </c>
      <c r="H7" s="256">
        <f t="shared" si="0"/>
        <v>7.94563475</v>
      </c>
      <c r="I7" s="256">
        <f t="shared" si="0"/>
        <v>9.5048149375000008</v>
      </c>
      <c r="J7" s="256">
        <f t="shared" si="0"/>
        <v>10.765598624999999</v>
      </c>
      <c r="K7" s="256">
        <f t="shared" si="0"/>
        <v>11.412313750000001</v>
      </c>
      <c r="L7" s="256">
        <f t="shared" si="0"/>
        <v>15.206864062500003</v>
      </c>
      <c r="M7" s="256" t="str">
        <f t="shared" si="0"/>
        <v/>
      </c>
      <c r="N7" s="256" t="str">
        <f t="shared" si="0"/>
        <v/>
      </c>
      <c r="O7" s="256" t="str">
        <f t="shared" si="0"/>
        <v/>
      </c>
      <c r="P7" s="256" t="str">
        <f t="shared" si="0"/>
        <v/>
      </c>
      <c r="Q7" s="256" t="str">
        <f t="shared" si="0"/>
        <v/>
      </c>
      <c r="R7" s="256" t="str">
        <f t="shared" si="0"/>
        <v/>
      </c>
      <c r="S7" s="256" t="str">
        <f t="shared" si="0"/>
        <v/>
      </c>
      <c r="T7" s="256" t="str">
        <f t="shared" si="0"/>
        <v/>
      </c>
      <c r="U7" s="256" t="str">
        <f t="shared" si="0"/>
        <v/>
      </c>
      <c r="V7" s="893"/>
    </row>
    <row r="8" spans="1:22" s="258" customFormat="1" ht="14.25" x14ac:dyDescent="0.2">
      <c r="A8" s="287" t="s">
        <v>22</v>
      </c>
      <c r="B8" s="256">
        <f>IF(ISERROR('Ratio New'!B163*(100%-B18)),"",IF('Ratio New'!B163*(100%-B18)=0,"",'Ratio New'!B163*(100%-B18)))</f>
        <v>5.0000000000000017E-2</v>
      </c>
      <c r="C8" s="256">
        <f>IF(ISERROR('Ratio New'!C163*(100%-C18)),"",IF('Ratio New'!C163*(100%-C18)=0,"",'Ratio New'!C163*(100%-C18)))</f>
        <v>0.22000000000000006</v>
      </c>
      <c r="D8" s="256">
        <f>IF(ISERROR('Ratio New'!D163*(100%-D18)),"",IF('Ratio New'!D163*(100%-D18)=0,"",'Ratio New'!D163*(100%-D18)))</f>
        <v>-0.56000000000000028</v>
      </c>
      <c r="E8" s="256">
        <f>IF(ISERROR('Ratio New'!E163*(100%-E18)),"",IF('Ratio New'!E163*(100%-E18)=0,"",'Ratio New'!E163*(100%-E18)))</f>
        <v>-0.61299999999999999</v>
      </c>
      <c r="F8" s="256">
        <f>IF(ISERROR('Ratio New'!F163*(100%-F18)),"",IF('Ratio New'!F163*(100%-F18)=0,"",'Ratio New'!F163*(100%-F18)))</f>
        <v>1.7199999999999993</v>
      </c>
      <c r="G8" s="256">
        <f>IF(ISERROR('Ratio New'!G163*(100%-G18)),"",IF('Ratio New'!G163*(100%-G18)=0,"",'Ratio New'!G163*(100%-G18)))</f>
        <v>3.9516956249999993</v>
      </c>
      <c r="H8" s="256">
        <f>IF(ISERROR('Ratio New'!H163*(100%-H18)),"",IF('Ratio New'!H163*(100%-H18)=0,"",'Ratio New'!H163*(100%-H18)))</f>
        <v>5.94563475</v>
      </c>
      <c r="I8" s="256">
        <f>IF(ISERROR('Ratio New'!I163*(100%-I18)),"",IF('Ratio New'!I163*(100%-I18)=0,"",'Ratio New'!I163*(100%-I18)))</f>
        <v>7.5048149375000008</v>
      </c>
      <c r="J8" s="256">
        <f>IF(ISERROR('Ratio New'!J163*(100%-J18)),"",IF('Ratio New'!J163*(100%-J18)=0,"",'Ratio New'!J163*(100%-J18)))</f>
        <v>8.7655986249999991</v>
      </c>
      <c r="K8" s="256">
        <f>IF(ISERROR('Ratio New'!K163*(100%-K18)),"",IF('Ratio New'!K163*(100%-K18)=0,"",'Ratio New'!K163*(100%-K18)))</f>
        <v>9.4123137500000009</v>
      </c>
      <c r="L8" s="256">
        <f>IF(ISERROR('Ratio New'!L163*(100%-L18)),"",IF('Ratio New'!L163*(100%-L18)=0,"",'Ratio New'!L163*(100%-L18)))</f>
        <v>13.206864062500003</v>
      </c>
      <c r="M8" s="256" t="str">
        <f>IF(ISERROR('Ratio New'!M163*(100%-M18)),"",IF('Ratio New'!M163*(100%-M18)=0,"",'Ratio New'!M163*(100%-M18)))</f>
        <v/>
      </c>
      <c r="N8" s="256" t="str">
        <f>IF(ISERROR('Ratio New'!N163*(100%-N18)),"",IF('Ratio New'!N163*(100%-N18)=0,"",'Ratio New'!N163*(100%-N18)))</f>
        <v/>
      </c>
      <c r="O8" s="256" t="str">
        <f>IF(ISERROR('Ratio New'!O163*(100%-O18)),"",IF('Ratio New'!O163*(100%-O18)=0,"",'Ratio New'!O163*(100%-O18)))</f>
        <v/>
      </c>
      <c r="P8" s="256" t="str">
        <f>IF(ISERROR('Ratio New'!P163*(100%-P18)),"",IF('Ratio New'!P163*(100%-P18)=0,"",'Ratio New'!P163*(100%-P18)))</f>
        <v/>
      </c>
      <c r="Q8" s="256" t="str">
        <f>IF(ISERROR('Ratio New'!Q163*(100%-Q18)),"",IF('Ratio New'!Q163*(100%-Q18)=0,"",'Ratio New'!Q163*(100%-Q18)))</f>
        <v/>
      </c>
      <c r="R8" s="256" t="str">
        <f>IF(ISERROR('Ratio New'!R163*(100%-R18)),"",IF('Ratio New'!R163*(100%-R18)=0,"",'Ratio New'!R163*(100%-R18)))</f>
        <v/>
      </c>
      <c r="S8" s="256" t="str">
        <f>IF(ISERROR('Ratio New'!S163*(100%-S18)),"",IF('Ratio New'!S163*(100%-S18)=0,"",'Ratio New'!S163*(100%-S18)))</f>
        <v/>
      </c>
      <c r="T8" s="256" t="str">
        <f>IF(ISERROR('Ratio New'!T163*(100%-T18)),"",IF('Ratio New'!T163*(100%-T18)=0,"",'Ratio New'!T163*(100%-T18)))</f>
        <v/>
      </c>
      <c r="U8" s="256" t="str">
        <f>IF(ISERROR('Ratio New'!U163*(100%-U18)),"",IF('Ratio New'!U163*(100%-U18)=0,"",'Ratio New'!U163*(100%-U18)))</f>
        <v/>
      </c>
      <c r="V8" s="893"/>
    </row>
    <row r="9" spans="1:22" s="258" customFormat="1" ht="14.25" x14ac:dyDescent="0.2">
      <c r="A9" s="287" t="s">
        <v>421</v>
      </c>
      <c r="B9" s="256" t="str">
        <f>IF(ISERROR(B7-B8),"",IF(B7-B8=0,"",B7-B8))</f>
        <v/>
      </c>
      <c r="C9" s="256" t="str">
        <f t="shared" ref="C9:U9" si="1">IF(ISERROR(C7-C8),"",IF(C7-C8=0,"",C7-C8))</f>
        <v/>
      </c>
      <c r="D9" s="256" t="str">
        <f t="shared" si="1"/>
        <v/>
      </c>
      <c r="E9" s="256" t="str">
        <f t="shared" si="1"/>
        <v/>
      </c>
      <c r="F9" s="256">
        <f t="shared" si="1"/>
        <v>2</v>
      </c>
      <c r="G9" s="256">
        <f t="shared" si="1"/>
        <v>2</v>
      </c>
      <c r="H9" s="256">
        <f t="shared" si="1"/>
        <v>2</v>
      </c>
      <c r="I9" s="256">
        <f t="shared" si="1"/>
        <v>2</v>
      </c>
      <c r="J9" s="256">
        <f t="shared" si="1"/>
        <v>2</v>
      </c>
      <c r="K9" s="256">
        <f t="shared" si="1"/>
        <v>2</v>
      </c>
      <c r="L9" s="256">
        <f t="shared" si="1"/>
        <v>2</v>
      </c>
      <c r="M9" s="256" t="str">
        <f t="shared" si="1"/>
        <v/>
      </c>
      <c r="N9" s="256" t="str">
        <f t="shared" si="1"/>
        <v/>
      </c>
      <c r="O9" s="256" t="str">
        <f t="shared" si="1"/>
        <v/>
      </c>
      <c r="P9" s="256" t="str">
        <f t="shared" si="1"/>
        <v/>
      </c>
      <c r="Q9" s="256" t="str">
        <f t="shared" si="1"/>
        <v/>
      </c>
      <c r="R9" s="256" t="str">
        <f t="shared" si="1"/>
        <v/>
      </c>
      <c r="S9" s="256" t="str">
        <f t="shared" si="1"/>
        <v/>
      </c>
      <c r="T9" s="256" t="str">
        <f t="shared" si="1"/>
        <v/>
      </c>
      <c r="U9" s="256" t="str">
        <f t="shared" si="1"/>
        <v/>
      </c>
      <c r="V9" s="893"/>
    </row>
    <row r="10" spans="1:22" s="303" customFormat="1" ht="14.25" x14ac:dyDescent="0.2">
      <c r="A10" s="318" t="s">
        <v>422</v>
      </c>
      <c r="B10" s="271">
        <f>IF(ISERROR(B8/B5),"",IF(B8/B5=0,"",B8/B5))</f>
        <v>0.23809523809523817</v>
      </c>
      <c r="C10" s="271">
        <f t="shared" ref="C10:U10" si="2">IF(ISERROR(C8/C5),"",IF(C8/C5=0,"",C8/C5))</f>
        <v>0.59459459459459463</v>
      </c>
      <c r="D10" s="271">
        <f t="shared" si="2"/>
        <v>-0.81159420289855122</v>
      </c>
      <c r="E10" s="271">
        <f t="shared" si="2"/>
        <v>-0.57289719626168234</v>
      </c>
      <c r="F10" s="271">
        <f t="shared" si="2"/>
        <v>0.27044025157232698</v>
      </c>
      <c r="G10" s="271">
        <f t="shared" si="2"/>
        <v>0.41401064349655869</v>
      </c>
      <c r="H10" s="271">
        <f t="shared" si="2"/>
        <v>0.49165531084131209</v>
      </c>
      <c r="I10" s="271">
        <f t="shared" si="2"/>
        <v>0.55281827032829045</v>
      </c>
      <c r="J10" s="271">
        <f t="shared" si="2"/>
        <v>0.58777433417582226</v>
      </c>
      <c r="K10" s="271">
        <f t="shared" si="2"/>
        <v>0.58815717026596559</v>
      </c>
      <c r="L10" s="271">
        <f t="shared" si="2"/>
        <v>0.79085822747644219</v>
      </c>
      <c r="M10" s="271" t="str">
        <f t="shared" si="2"/>
        <v/>
      </c>
      <c r="N10" s="271" t="str">
        <f t="shared" si="2"/>
        <v/>
      </c>
      <c r="O10" s="271" t="str">
        <f t="shared" si="2"/>
        <v/>
      </c>
      <c r="P10" s="271" t="str">
        <f t="shared" si="2"/>
        <v/>
      </c>
      <c r="Q10" s="271" t="str">
        <f t="shared" si="2"/>
        <v/>
      </c>
      <c r="R10" s="271" t="str">
        <f t="shared" si="2"/>
        <v/>
      </c>
      <c r="S10" s="271" t="str">
        <f t="shared" si="2"/>
        <v/>
      </c>
      <c r="T10" s="271" t="str">
        <f t="shared" si="2"/>
        <v/>
      </c>
      <c r="U10" s="271" t="str">
        <f t="shared" si="2"/>
        <v/>
      </c>
      <c r="V10" s="895"/>
    </row>
    <row r="11" spans="1:22" s="303" customFormat="1" ht="14.25" x14ac:dyDescent="0.2">
      <c r="A11" s="318" t="s">
        <v>423</v>
      </c>
      <c r="B11" s="271" t="str">
        <f>IF(ISERROR(B9/B5),"",IF(B9/B5=0,"",B9/B5))</f>
        <v/>
      </c>
      <c r="C11" s="271" t="str">
        <f t="shared" ref="C11:U11" si="3">IF(ISERROR(C9/C5),"",IF(C9/C5=0,"",C9/C5))</f>
        <v/>
      </c>
      <c r="D11" s="271" t="str">
        <f t="shared" si="3"/>
        <v/>
      </c>
      <c r="E11" s="271" t="str">
        <f t="shared" si="3"/>
        <v/>
      </c>
      <c r="F11" s="271">
        <f t="shared" si="3"/>
        <v>0.31446540880503149</v>
      </c>
      <c r="G11" s="271">
        <f t="shared" si="3"/>
        <v>0.20953569443828748</v>
      </c>
      <c r="H11" s="271">
        <f t="shared" si="3"/>
        <v>0.16538362395749659</v>
      </c>
      <c r="I11" s="271">
        <f t="shared" si="3"/>
        <v>0.14732362488140044</v>
      </c>
      <c r="J11" s="271">
        <f t="shared" si="3"/>
        <v>0.13410934251528595</v>
      </c>
      <c r="K11" s="271">
        <f t="shared" si="3"/>
        <v>0.12497610808308754</v>
      </c>
      <c r="L11" s="271">
        <f t="shared" si="3"/>
        <v>0.1197647259385414</v>
      </c>
      <c r="M11" s="271" t="str">
        <f t="shared" si="3"/>
        <v/>
      </c>
      <c r="N11" s="271" t="str">
        <f t="shared" si="3"/>
        <v/>
      </c>
      <c r="O11" s="271" t="str">
        <f t="shared" si="3"/>
        <v/>
      </c>
      <c r="P11" s="271" t="str">
        <f t="shared" si="3"/>
        <v/>
      </c>
      <c r="Q11" s="271" t="str">
        <f t="shared" si="3"/>
        <v/>
      </c>
      <c r="R11" s="271" t="str">
        <f t="shared" si="3"/>
        <v/>
      </c>
      <c r="S11" s="271" t="str">
        <f t="shared" si="3"/>
        <v/>
      </c>
      <c r="T11" s="271" t="str">
        <f t="shared" si="3"/>
        <v/>
      </c>
      <c r="U11" s="271" t="str">
        <f t="shared" si="3"/>
        <v/>
      </c>
      <c r="V11" s="895"/>
    </row>
    <row r="12" spans="1:22" s="303" customFormat="1" ht="14.25" x14ac:dyDescent="0.2">
      <c r="A12" s="318" t="s">
        <v>426</v>
      </c>
      <c r="B12" s="271">
        <f>IF(ISERROR(B6/B5),"",IF(B6/B5=0,"",B6/B5))</f>
        <v>0.76190476190476186</v>
      </c>
      <c r="C12" s="271">
        <f t="shared" ref="C12:U12" si="4">IF(ISERROR(C6/C5),"",IF(C6/C5=0,"",C6/C5))</f>
        <v>0.40540540540540532</v>
      </c>
      <c r="D12" s="271">
        <f t="shared" si="4"/>
        <v>1.8115942028985512</v>
      </c>
      <c r="E12" s="271">
        <f t="shared" si="4"/>
        <v>1.5728971962616822</v>
      </c>
      <c r="F12" s="271">
        <f t="shared" si="4"/>
        <v>0.41509433962264158</v>
      </c>
      <c r="G12" s="271">
        <f t="shared" si="4"/>
        <v>0.37645366206515374</v>
      </c>
      <c r="H12" s="271">
        <f t="shared" si="4"/>
        <v>0.34296106520119135</v>
      </c>
      <c r="I12" s="271">
        <f t="shared" si="4"/>
        <v>0.29985810479030911</v>
      </c>
      <c r="J12" s="271">
        <f t="shared" si="4"/>
        <v>0.2781163233088918</v>
      </c>
      <c r="K12" s="271">
        <f t="shared" si="4"/>
        <v>0.2868667216509469</v>
      </c>
      <c r="L12" s="271">
        <f t="shared" si="4"/>
        <v>8.9377046585016398E-2</v>
      </c>
      <c r="M12" s="271" t="str">
        <f t="shared" si="4"/>
        <v/>
      </c>
      <c r="N12" s="271" t="str">
        <f t="shared" si="4"/>
        <v/>
      </c>
      <c r="O12" s="271" t="str">
        <f t="shared" si="4"/>
        <v/>
      </c>
      <c r="P12" s="271" t="str">
        <f t="shared" si="4"/>
        <v/>
      </c>
      <c r="Q12" s="271" t="str">
        <f t="shared" si="4"/>
        <v/>
      </c>
      <c r="R12" s="271" t="str">
        <f t="shared" si="4"/>
        <v/>
      </c>
      <c r="S12" s="271" t="str">
        <f t="shared" si="4"/>
        <v/>
      </c>
      <c r="T12" s="271" t="str">
        <f t="shared" si="4"/>
        <v/>
      </c>
      <c r="U12" s="271" t="str">
        <f t="shared" si="4"/>
        <v/>
      </c>
      <c r="V12" s="895"/>
    </row>
    <row r="13" spans="1:22" ht="14.25" customHeight="1" x14ac:dyDescent="0.2">
      <c r="A13" s="914" t="s">
        <v>1075</v>
      </c>
      <c r="B13" s="723"/>
      <c r="C13" s="723"/>
      <c r="D13" s="723"/>
      <c r="E13" s="723"/>
      <c r="F13" s="723"/>
      <c r="G13" s="723"/>
      <c r="H13" s="723"/>
      <c r="I13" s="723"/>
      <c r="J13" s="723"/>
      <c r="K13" s="723"/>
      <c r="L13" s="723"/>
      <c r="M13" s="723"/>
      <c r="N13" s="723"/>
      <c r="O13" s="723"/>
      <c r="P13" s="723"/>
      <c r="Q13" s="723"/>
      <c r="R13" s="723"/>
      <c r="S13" s="723"/>
      <c r="T13" s="723"/>
      <c r="U13" s="723"/>
      <c r="V13" s="847"/>
    </row>
    <row r="14" spans="1:22" ht="37.5" customHeight="1" x14ac:dyDescent="0.2">
      <c r="A14" s="914" t="s">
        <v>1076</v>
      </c>
      <c r="B14" s="723"/>
      <c r="C14" s="723"/>
      <c r="D14" s="723"/>
      <c r="E14" s="723"/>
      <c r="F14" s="723"/>
      <c r="G14" s="723"/>
      <c r="H14" s="723"/>
      <c r="I14" s="723"/>
      <c r="J14" s="723"/>
      <c r="K14" s="723"/>
      <c r="L14" s="723"/>
      <c r="M14" s="723"/>
      <c r="N14" s="723"/>
      <c r="O14" s="723"/>
      <c r="P14" s="723"/>
      <c r="Q14" s="723"/>
      <c r="R14" s="723"/>
      <c r="S14" s="723"/>
      <c r="T14" s="723"/>
      <c r="U14" s="723"/>
      <c r="V14" s="847"/>
    </row>
    <row r="15" spans="1:22" ht="15.75" customHeight="1" x14ac:dyDescent="0.25">
      <c r="A15" s="723"/>
      <c r="B15" s="261">
        <f>B3</f>
        <v>2020</v>
      </c>
      <c r="C15" s="261">
        <f t="shared" ref="C15:O15" si="5">C3</f>
        <v>2021</v>
      </c>
      <c r="D15" s="261">
        <f t="shared" si="5"/>
        <v>2022</v>
      </c>
      <c r="E15" s="261">
        <f t="shared" si="5"/>
        <v>2023</v>
      </c>
      <c r="F15" s="261">
        <f t="shared" si="5"/>
        <v>2024</v>
      </c>
      <c r="G15" s="261">
        <f t="shared" si="5"/>
        <v>2025</v>
      </c>
      <c r="H15" s="261">
        <f t="shared" si="5"/>
        <v>2026</v>
      </c>
      <c r="I15" s="261">
        <f t="shared" si="5"/>
        <v>2027</v>
      </c>
      <c r="J15" s="261">
        <f t="shared" si="5"/>
        <v>2028</v>
      </c>
      <c r="K15" s="261">
        <f t="shared" si="5"/>
        <v>2029</v>
      </c>
      <c r="L15" s="261">
        <f t="shared" si="5"/>
        <v>2030</v>
      </c>
      <c r="M15" s="261">
        <f t="shared" si="5"/>
        <v>2031</v>
      </c>
      <c r="N15" s="261">
        <f t="shared" si="5"/>
        <v>2032</v>
      </c>
      <c r="O15" s="261">
        <f t="shared" si="5"/>
        <v>2033</v>
      </c>
      <c r="P15" s="261">
        <f t="shared" ref="P15:U15" si="6">P3</f>
        <v>2034</v>
      </c>
      <c r="Q15" s="261">
        <f t="shared" si="6"/>
        <v>2035</v>
      </c>
      <c r="R15" s="261">
        <f t="shared" si="6"/>
        <v>2036</v>
      </c>
      <c r="S15" s="261">
        <f t="shared" si="6"/>
        <v>2037</v>
      </c>
      <c r="T15" s="261">
        <f t="shared" si="6"/>
        <v>2038</v>
      </c>
      <c r="U15" s="261">
        <f t="shared" si="6"/>
        <v>2039</v>
      </c>
      <c r="V15" s="847"/>
    </row>
    <row r="16" spans="1:22" ht="14.25" x14ac:dyDescent="0.2">
      <c r="A16" s="890" t="s">
        <v>1034</v>
      </c>
      <c r="B16" s="891"/>
      <c r="C16" s="891"/>
      <c r="D16" s="891"/>
      <c r="E16" s="891"/>
      <c r="F16" s="891"/>
      <c r="G16" s="891"/>
      <c r="H16" s="891"/>
      <c r="I16" s="891"/>
      <c r="J16" s="891"/>
      <c r="K16" s="891"/>
      <c r="L16" s="891"/>
      <c r="M16" s="891"/>
      <c r="N16" s="891"/>
      <c r="O16" s="891"/>
      <c r="P16" s="891"/>
      <c r="Q16" s="891"/>
      <c r="R16" s="891"/>
      <c r="S16" s="891"/>
      <c r="T16" s="891"/>
      <c r="U16" s="891"/>
      <c r="V16" s="847"/>
    </row>
    <row r="17" spans="1:22" ht="14.25" x14ac:dyDescent="0.2">
      <c r="A17" s="890" t="s">
        <v>1035</v>
      </c>
      <c r="B17" s="891"/>
      <c r="C17" s="891"/>
      <c r="D17" s="891"/>
      <c r="E17" s="891"/>
      <c r="F17" s="891"/>
      <c r="G17" s="891"/>
      <c r="H17" s="891"/>
      <c r="I17" s="891"/>
      <c r="J17" s="891"/>
      <c r="K17" s="891"/>
      <c r="L17" s="891"/>
      <c r="M17" s="891"/>
      <c r="N17" s="891"/>
      <c r="O17" s="891"/>
      <c r="P17" s="891"/>
      <c r="Q17" s="891"/>
      <c r="R17" s="891"/>
      <c r="S17" s="891"/>
      <c r="T17" s="891"/>
      <c r="U17" s="891"/>
      <c r="V17" s="847"/>
    </row>
    <row r="18" spans="1:22" ht="14.25" x14ac:dyDescent="0.2">
      <c r="A18" s="890" t="s">
        <v>1036</v>
      </c>
      <c r="B18" s="891"/>
      <c r="C18" s="891"/>
      <c r="D18" s="891"/>
      <c r="E18" s="891"/>
      <c r="F18" s="891"/>
      <c r="G18" s="891"/>
      <c r="H18" s="891"/>
      <c r="I18" s="891"/>
      <c r="J18" s="891"/>
      <c r="K18" s="891"/>
      <c r="L18" s="891"/>
      <c r="M18" s="891"/>
      <c r="N18" s="891"/>
      <c r="O18" s="891"/>
      <c r="P18" s="891"/>
      <c r="Q18" s="891"/>
      <c r="R18" s="891"/>
      <c r="S18" s="891"/>
      <c r="T18" s="891"/>
      <c r="U18" s="891"/>
      <c r="V18" s="847"/>
    </row>
    <row r="19" spans="1:22" ht="37.5" customHeight="1" x14ac:dyDescent="0.2">
      <c r="A19" s="912" t="s">
        <v>1047</v>
      </c>
      <c r="B19" s="860"/>
      <c r="C19" s="860"/>
      <c r="D19" s="860"/>
      <c r="E19" s="860"/>
      <c r="F19" s="860"/>
      <c r="G19" s="860"/>
      <c r="H19" s="860"/>
      <c r="I19" s="860"/>
      <c r="J19" s="860"/>
      <c r="K19" s="860"/>
      <c r="L19" s="860"/>
      <c r="M19" s="860"/>
      <c r="N19" s="723"/>
      <c r="O19" s="723"/>
      <c r="P19" s="723"/>
      <c r="Q19" s="723"/>
      <c r="R19" s="723"/>
      <c r="S19" s="723"/>
      <c r="T19" s="723"/>
      <c r="U19" s="723"/>
      <c r="V19" s="847"/>
    </row>
    <row r="20" spans="1:22" s="905" customFormat="1" ht="25.5" hidden="1" x14ac:dyDescent="0.2">
      <c r="A20" s="904" t="s">
        <v>1045</v>
      </c>
      <c r="B20" s="908" t="s">
        <v>1030</v>
      </c>
      <c r="C20" s="908" t="s">
        <v>730</v>
      </c>
      <c r="D20" s="908" t="s">
        <v>252</v>
      </c>
      <c r="E20" s="908" t="s">
        <v>731</v>
      </c>
      <c r="F20" s="908" t="s">
        <v>732</v>
      </c>
      <c r="G20" s="908" t="s">
        <v>733</v>
      </c>
      <c r="H20" s="908" t="s">
        <v>734</v>
      </c>
      <c r="I20" s="908" t="s">
        <v>735</v>
      </c>
      <c r="J20" s="908" t="s">
        <v>736</v>
      </c>
      <c r="K20" s="908" t="s">
        <v>737</v>
      </c>
      <c r="L20" s="908" t="s">
        <v>728</v>
      </c>
      <c r="M20" s="908" t="s">
        <v>729</v>
      </c>
      <c r="N20" s="911"/>
      <c r="O20" s="906"/>
      <c r="P20" s="906"/>
      <c r="Q20" s="906"/>
      <c r="R20" s="906"/>
      <c r="S20" s="906"/>
      <c r="T20" s="906"/>
      <c r="U20" s="906"/>
      <c r="V20" s="907"/>
    </row>
    <row r="21" spans="1:22" s="919" customFormat="1" ht="15" hidden="1" x14ac:dyDescent="0.25">
      <c r="A21" s="927" t="s">
        <v>1037</v>
      </c>
      <c r="B21" s="915"/>
      <c r="C21" s="915"/>
      <c r="D21" s="915"/>
      <c r="E21" s="915"/>
      <c r="F21" s="915"/>
      <c r="G21" s="915"/>
      <c r="H21" s="915"/>
      <c r="I21" s="915"/>
      <c r="J21" s="915"/>
      <c r="K21" s="915"/>
      <c r="L21" s="915"/>
      <c r="M21" s="915"/>
      <c r="N21" s="917"/>
      <c r="O21" s="917"/>
      <c r="P21" s="917"/>
      <c r="Q21" s="917"/>
      <c r="R21" s="917"/>
      <c r="S21" s="917"/>
      <c r="T21" s="917"/>
      <c r="U21" s="917"/>
      <c r="V21" s="918"/>
    </row>
    <row r="22" spans="1:22" s="896" customFormat="1" ht="15" hidden="1" x14ac:dyDescent="0.25">
      <c r="A22" s="897" t="s">
        <v>1031</v>
      </c>
      <c r="B22" s="913"/>
      <c r="C22" s="913"/>
      <c r="D22" s="913"/>
      <c r="E22" s="913"/>
      <c r="F22" s="913"/>
      <c r="G22" s="913"/>
      <c r="H22" s="913"/>
      <c r="I22" s="913"/>
      <c r="J22" s="913"/>
      <c r="K22" s="913"/>
      <c r="L22" s="913"/>
      <c r="M22" s="913"/>
      <c r="N22" s="909"/>
      <c r="O22" s="909"/>
      <c r="P22" s="909"/>
      <c r="Q22" s="909"/>
      <c r="R22" s="909"/>
      <c r="S22" s="909"/>
      <c r="T22" s="909"/>
      <c r="U22" s="909"/>
      <c r="V22" s="898"/>
    </row>
    <row r="23" spans="1:22" s="903" customFormat="1" hidden="1" x14ac:dyDescent="0.2">
      <c r="A23" s="899" t="s">
        <v>1041</v>
      </c>
      <c r="B23" s="900"/>
      <c r="C23" s="900"/>
      <c r="D23" s="900"/>
      <c r="E23" s="900"/>
      <c r="F23" s="900"/>
      <c r="G23" s="900"/>
      <c r="H23" s="900"/>
      <c r="I23" s="900"/>
      <c r="J23" s="900"/>
      <c r="K23" s="900"/>
      <c r="L23" s="900"/>
      <c r="M23" s="900"/>
      <c r="N23" s="901"/>
      <c r="O23" s="901"/>
      <c r="P23" s="901"/>
      <c r="Q23" s="901"/>
      <c r="R23" s="901"/>
      <c r="S23" s="901"/>
      <c r="T23" s="901"/>
      <c r="U23" s="901"/>
      <c r="V23" s="902"/>
    </row>
    <row r="24" spans="1:22" s="896" customFormat="1" ht="15" hidden="1" x14ac:dyDescent="0.25">
      <c r="A24" s="897" t="s">
        <v>1032</v>
      </c>
      <c r="B24" s="913"/>
      <c r="C24" s="913"/>
      <c r="D24" s="913"/>
      <c r="E24" s="913"/>
      <c r="F24" s="913"/>
      <c r="G24" s="913"/>
      <c r="H24" s="913"/>
      <c r="I24" s="913"/>
      <c r="J24" s="913"/>
      <c r="K24" s="913"/>
      <c r="L24" s="913"/>
      <c r="M24" s="913"/>
      <c r="N24" s="909"/>
      <c r="O24" s="909"/>
      <c r="P24" s="909"/>
      <c r="Q24" s="909"/>
      <c r="R24" s="909"/>
      <c r="S24" s="909"/>
      <c r="T24" s="909"/>
      <c r="U24" s="909"/>
      <c r="V24" s="898"/>
    </row>
    <row r="25" spans="1:22" s="903" customFormat="1" hidden="1" x14ac:dyDescent="0.2">
      <c r="A25" s="899" t="s">
        <v>1041</v>
      </c>
      <c r="B25" s="900"/>
      <c r="C25" s="900"/>
      <c r="D25" s="900"/>
      <c r="E25" s="900"/>
      <c r="F25" s="900"/>
      <c r="G25" s="900"/>
      <c r="H25" s="900"/>
      <c r="I25" s="900"/>
      <c r="J25" s="900"/>
      <c r="K25" s="900"/>
      <c r="L25" s="900"/>
      <c r="M25" s="900"/>
      <c r="N25" s="901"/>
      <c r="O25" s="901"/>
      <c r="P25" s="901"/>
      <c r="Q25" s="901"/>
      <c r="R25" s="901"/>
      <c r="S25" s="901"/>
      <c r="T25" s="901"/>
      <c r="U25" s="901"/>
      <c r="V25" s="902"/>
    </row>
    <row r="26" spans="1:22" s="896" customFormat="1" ht="15" hidden="1" x14ac:dyDescent="0.25">
      <c r="A26" s="897" t="s">
        <v>1040</v>
      </c>
      <c r="B26" s="913"/>
      <c r="C26" s="913"/>
      <c r="D26" s="913"/>
      <c r="E26" s="913"/>
      <c r="F26" s="913"/>
      <c r="G26" s="913"/>
      <c r="H26" s="913"/>
      <c r="I26" s="913"/>
      <c r="J26" s="913"/>
      <c r="K26" s="913"/>
      <c r="L26" s="913"/>
      <c r="M26" s="913"/>
      <c r="N26" s="909"/>
      <c r="O26" s="909"/>
      <c r="P26" s="909"/>
      <c r="Q26" s="909"/>
      <c r="R26" s="909"/>
      <c r="S26" s="909"/>
      <c r="T26" s="909"/>
      <c r="U26" s="909"/>
      <c r="V26" s="898"/>
    </row>
    <row r="27" spans="1:22" s="903" customFormat="1" hidden="1" x14ac:dyDescent="0.2">
      <c r="A27" s="899" t="s">
        <v>1041</v>
      </c>
      <c r="B27" s="900"/>
      <c r="C27" s="900"/>
      <c r="D27" s="900"/>
      <c r="E27" s="900"/>
      <c r="F27" s="900"/>
      <c r="G27" s="900"/>
      <c r="H27" s="900"/>
      <c r="I27" s="900"/>
      <c r="J27" s="900"/>
      <c r="K27" s="900"/>
      <c r="L27" s="900"/>
      <c r="M27" s="900"/>
      <c r="N27" s="901"/>
      <c r="O27" s="901"/>
      <c r="P27" s="901"/>
      <c r="Q27" s="901"/>
      <c r="R27" s="901"/>
      <c r="S27" s="901"/>
      <c r="T27" s="901"/>
      <c r="U27" s="901"/>
      <c r="V27" s="902"/>
    </row>
    <row r="28" spans="1:22" s="896" customFormat="1" ht="15" hidden="1" x14ac:dyDescent="0.25">
      <c r="A28" s="897" t="s">
        <v>1038</v>
      </c>
      <c r="B28" s="913"/>
      <c r="C28" s="913"/>
      <c r="D28" s="913"/>
      <c r="E28" s="913"/>
      <c r="F28" s="913"/>
      <c r="G28" s="913"/>
      <c r="H28" s="913"/>
      <c r="I28" s="913"/>
      <c r="J28" s="913"/>
      <c r="K28" s="913"/>
      <c r="L28" s="913"/>
      <c r="M28" s="913"/>
      <c r="N28" s="909"/>
      <c r="O28" s="909"/>
      <c r="P28" s="909"/>
      <c r="Q28" s="909"/>
      <c r="R28" s="909"/>
      <c r="S28" s="909"/>
      <c r="T28" s="909"/>
      <c r="U28" s="909"/>
      <c r="V28" s="898"/>
    </row>
    <row r="29" spans="1:22" s="903" customFormat="1" hidden="1" x14ac:dyDescent="0.2">
      <c r="A29" s="899" t="s">
        <v>1041</v>
      </c>
      <c r="B29" s="900"/>
      <c r="C29" s="900"/>
      <c r="D29" s="900"/>
      <c r="E29" s="900"/>
      <c r="F29" s="900"/>
      <c r="G29" s="900"/>
      <c r="H29" s="900"/>
      <c r="I29" s="900"/>
      <c r="J29" s="900"/>
      <c r="K29" s="900"/>
      <c r="L29" s="900"/>
      <c r="M29" s="900"/>
      <c r="N29" s="901"/>
      <c r="O29" s="901"/>
      <c r="P29" s="901"/>
      <c r="Q29" s="901"/>
      <c r="R29" s="901"/>
      <c r="S29" s="901"/>
      <c r="T29" s="901"/>
      <c r="U29" s="901"/>
      <c r="V29" s="902"/>
    </row>
    <row r="30" spans="1:22" ht="30.75" hidden="1" customHeight="1" x14ac:dyDescent="0.2">
      <c r="A30" s="910"/>
      <c r="B30" s="860"/>
      <c r="C30" s="860"/>
      <c r="D30" s="860"/>
      <c r="E30" s="860"/>
      <c r="F30" s="860"/>
      <c r="G30" s="860"/>
      <c r="H30" s="860"/>
      <c r="I30" s="860"/>
      <c r="J30" s="860"/>
      <c r="K30" s="860"/>
      <c r="L30" s="860"/>
      <c r="M30" s="860"/>
      <c r="N30" s="723"/>
      <c r="O30" s="723"/>
      <c r="P30" s="723"/>
      <c r="Q30" s="723"/>
      <c r="R30" s="723"/>
      <c r="S30" s="723"/>
      <c r="T30" s="723"/>
      <c r="U30" s="723"/>
      <c r="V30" s="847"/>
    </row>
    <row r="31" spans="1:22" s="896" customFormat="1" ht="15" customHeight="1" x14ac:dyDescent="0.2">
      <c r="A31" s="904" t="s">
        <v>1073</v>
      </c>
      <c r="B31" s="908" t="str">
        <f>INPUT!C9</f>
        <v>MARCH</v>
      </c>
      <c r="C31" s="916"/>
      <c r="D31" s="916"/>
      <c r="E31" s="916"/>
      <c r="F31" s="916"/>
      <c r="G31" s="916"/>
      <c r="H31" s="916"/>
      <c r="I31" s="916"/>
      <c r="J31" s="916"/>
      <c r="K31" s="916"/>
      <c r="L31" s="916"/>
      <c r="M31" s="916"/>
      <c r="N31" s="909"/>
      <c r="O31" s="909"/>
      <c r="P31" s="909"/>
      <c r="Q31" s="909"/>
      <c r="R31" s="909"/>
      <c r="S31" s="909"/>
      <c r="T31" s="909"/>
      <c r="U31" s="909"/>
      <c r="V31" s="898"/>
    </row>
    <row r="32" spans="1:22" s="922" customFormat="1" ht="15" hidden="1" customHeight="1" x14ac:dyDescent="0.25">
      <c r="A32" s="927" t="s">
        <v>1037</v>
      </c>
      <c r="B32" s="915"/>
      <c r="C32" s="916"/>
      <c r="D32" s="916"/>
      <c r="E32" s="916"/>
      <c r="F32" s="916"/>
      <c r="G32" s="916"/>
      <c r="H32" s="916"/>
      <c r="I32" s="916"/>
      <c r="J32" s="916"/>
      <c r="K32" s="916"/>
      <c r="L32" s="916"/>
      <c r="M32" s="916"/>
      <c r="N32" s="920"/>
      <c r="O32" s="920"/>
      <c r="P32" s="920"/>
      <c r="Q32" s="920"/>
      <c r="R32" s="920"/>
      <c r="S32" s="920"/>
      <c r="T32" s="920"/>
      <c r="U32" s="920"/>
      <c r="V32" s="921"/>
    </row>
    <row r="33" spans="1:23" s="896" customFormat="1" ht="15" x14ac:dyDescent="0.25">
      <c r="A33" s="897" t="s">
        <v>1031</v>
      </c>
      <c r="B33" s="913"/>
      <c r="C33" s="317"/>
      <c r="D33" s="317"/>
      <c r="E33" s="317"/>
      <c r="F33" s="317"/>
      <c r="G33" s="317"/>
      <c r="H33" s="317"/>
      <c r="I33" s="317"/>
      <c r="J33" s="317"/>
      <c r="K33" s="317"/>
      <c r="L33" s="317"/>
      <c r="M33" s="317"/>
      <c r="N33" s="909"/>
      <c r="O33" s="909"/>
      <c r="P33" s="909"/>
      <c r="Q33" s="909"/>
      <c r="R33" s="909"/>
      <c r="S33" s="909"/>
      <c r="T33" s="909"/>
      <c r="U33" s="909"/>
      <c r="V33" s="898"/>
    </row>
    <row r="34" spans="1:23" s="1005" customFormat="1" x14ac:dyDescent="0.2">
      <c r="A34" s="302" t="s">
        <v>1074</v>
      </c>
      <c r="B34" s="1003"/>
      <c r="C34" s="136" t="str">
        <f>IF(ISERROR(C33/$B$33),"",IF(C33/$B$33=0,"",C33/$B$33))</f>
        <v/>
      </c>
      <c r="D34" s="136" t="str">
        <f t="shared" ref="D34:M34" si="7">IF(ISERROR(D33/$B$33),"",IF(D33/$B$33=0,"",D33/$B$33))</f>
        <v/>
      </c>
      <c r="E34" s="136" t="str">
        <f t="shared" si="7"/>
        <v/>
      </c>
      <c r="F34" s="136" t="str">
        <f t="shared" si="7"/>
        <v/>
      </c>
      <c r="G34" s="136" t="str">
        <f t="shared" si="7"/>
        <v/>
      </c>
      <c r="H34" s="136" t="str">
        <f t="shared" si="7"/>
        <v/>
      </c>
      <c r="I34" s="136" t="str">
        <f t="shared" si="7"/>
        <v/>
      </c>
      <c r="J34" s="136" t="str">
        <f t="shared" si="7"/>
        <v/>
      </c>
      <c r="K34" s="136" t="str">
        <f t="shared" si="7"/>
        <v/>
      </c>
      <c r="L34" s="136" t="str">
        <f t="shared" si="7"/>
        <v/>
      </c>
      <c r="M34" s="136" t="str">
        <f t="shared" si="7"/>
        <v/>
      </c>
      <c r="N34" s="958"/>
      <c r="O34" s="958"/>
      <c r="P34" s="958"/>
      <c r="Q34" s="958"/>
      <c r="R34" s="958"/>
      <c r="S34" s="958"/>
      <c r="T34" s="958"/>
      <c r="U34" s="958"/>
      <c r="V34" s="1004"/>
    </row>
    <row r="35" spans="1:23" s="896" customFormat="1" ht="15" x14ac:dyDescent="0.25">
      <c r="A35" s="897" t="s">
        <v>1032</v>
      </c>
      <c r="B35" s="913"/>
      <c r="C35" s="317"/>
      <c r="D35" s="317"/>
      <c r="E35" s="317"/>
      <c r="F35" s="317"/>
      <c r="G35" s="317"/>
      <c r="H35" s="317"/>
      <c r="I35" s="317"/>
      <c r="J35" s="317"/>
      <c r="K35" s="317"/>
      <c r="L35" s="317"/>
      <c r="M35" s="317"/>
      <c r="N35" s="909"/>
      <c r="O35" s="909"/>
      <c r="P35" s="909"/>
      <c r="Q35" s="909"/>
      <c r="R35" s="909"/>
      <c r="S35" s="909"/>
      <c r="T35" s="909"/>
      <c r="U35" s="909"/>
      <c r="V35" s="898"/>
    </row>
    <row r="36" spans="1:23" s="1005" customFormat="1" x14ac:dyDescent="0.2">
      <c r="A36" s="302" t="s">
        <v>1074</v>
      </c>
      <c r="B36" s="1003"/>
      <c r="C36" s="136" t="str">
        <f>IF(ISERROR(C35/$B$35),"",IF(C35/$B$35=0,"",C35/$B$35))</f>
        <v/>
      </c>
      <c r="D36" s="136" t="str">
        <f t="shared" ref="D36:M36" si="8">IF(ISERROR(D35/$B$35),"",IF(D35/$B$35=0,"",D35/$B$35))</f>
        <v/>
      </c>
      <c r="E36" s="136" t="str">
        <f t="shared" si="8"/>
        <v/>
      </c>
      <c r="F36" s="136" t="str">
        <f t="shared" si="8"/>
        <v/>
      </c>
      <c r="G36" s="136" t="str">
        <f t="shared" si="8"/>
        <v/>
      </c>
      <c r="H36" s="136" t="str">
        <f t="shared" si="8"/>
        <v/>
      </c>
      <c r="I36" s="136" t="str">
        <f t="shared" si="8"/>
        <v/>
      </c>
      <c r="J36" s="136" t="str">
        <f t="shared" si="8"/>
        <v/>
      </c>
      <c r="K36" s="136" t="str">
        <f t="shared" si="8"/>
        <v/>
      </c>
      <c r="L36" s="136" t="str">
        <f t="shared" si="8"/>
        <v/>
      </c>
      <c r="M36" s="136" t="str">
        <f t="shared" si="8"/>
        <v/>
      </c>
      <c r="N36" s="958"/>
      <c r="O36" s="958"/>
      <c r="P36" s="958"/>
      <c r="Q36" s="958"/>
      <c r="R36" s="958"/>
      <c r="S36" s="958"/>
      <c r="T36" s="958"/>
      <c r="U36" s="958"/>
      <c r="V36" s="1004"/>
    </row>
    <row r="37" spans="1:23" s="896" customFormat="1" ht="15" x14ac:dyDescent="0.25">
      <c r="A37" s="897" t="s">
        <v>1040</v>
      </c>
      <c r="B37" s="913"/>
      <c r="C37" s="317"/>
      <c r="D37" s="317"/>
      <c r="E37" s="317"/>
      <c r="F37" s="317"/>
      <c r="G37" s="317"/>
      <c r="H37" s="317"/>
      <c r="I37" s="317"/>
      <c r="J37" s="317"/>
      <c r="K37" s="317"/>
      <c r="L37" s="317"/>
      <c r="M37" s="317"/>
      <c r="N37" s="909"/>
      <c r="O37" s="909"/>
      <c r="P37" s="909"/>
      <c r="Q37" s="909"/>
      <c r="R37" s="909"/>
      <c r="S37" s="909"/>
      <c r="T37" s="909"/>
      <c r="U37" s="909"/>
      <c r="V37" s="898"/>
    </row>
    <row r="38" spans="1:23" s="1005" customFormat="1" x14ac:dyDescent="0.2">
      <c r="A38" s="302" t="s">
        <v>1074</v>
      </c>
      <c r="B38" s="1003"/>
      <c r="C38" s="136" t="str">
        <f>IF(ISERROR(C37/$B$37),"",IF(C37/$B$37=0,"",C37/$B$37))</f>
        <v/>
      </c>
      <c r="D38" s="136" t="str">
        <f t="shared" ref="D38:M38" si="9">IF(ISERROR(D37/$B$37),"",IF(D37/$B$37=0,"",D37/$B$37))</f>
        <v/>
      </c>
      <c r="E38" s="136" t="str">
        <f t="shared" si="9"/>
        <v/>
      </c>
      <c r="F38" s="136" t="str">
        <f t="shared" si="9"/>
        <v/>
      </c>
      <c r="G38" s="136" t="str">
        <f t="shared" si="9"/>
        <v/>
      </c>
      <c r="H38" s="136" t="str">
        <f t="shared" si="9"/>
        <v/>
      </c>
      <c r="I38" s="136" t="str">
        <f t="shared" si="9"/>
        <v/>
      </c>
      <c r="J38" s="136" t="str">
        <f t="shared" si="9"/>
        <v/>
      </c>
      <c r="K38" s="136" t="str">
        <f t="shared" si="9"/>
        <v/>
      </c>
      <c r="L38" s="136" t="str">
        <f t="shared" si="9"/>
        <v/>
      </c>
      <c r="M38" s="136" t="str">
        <f t="shared" si="9"/>
        <v/>
      </c>
      <c r="N38" s="958"/>
      <c r="O38" s="958"/>
      <c r="P38" s="958"/>
      <c r="Q38" s="958"/>
      <c r="R38" s="958"/>
      <c r="S38" s="958"/>
      <c r="T38" s="958"/>
      <c r="U38" s="958"/>
      <c r="V38" s="1004"/>
    </row>
    <row r="39" spans="1:23" s="896" customFormat="1" ht="15" x14ac:dyDescent="0.25">
      <c r="A39" s="897" t="s">
        <v>1038</v>
      </c>
      <c r="B39" s="913"/>
      <c r="C39" s="317"/>
      <c r="D39" s="317"/>
      <c r="E39" s="317"/>
      <c r="F39" s="317"/>
      <c r="G39" s="317"/>
      <c r="H39" s="317"/>
      <c r="I39" s="317"/>
      <c r="J39" s="317"/>
      <c r="K39" s="317"/>
      <c r="L39" s="317"/>
      <c r="M39" s="317"/>
      <c r="N39" s="909"/>
      <c r="O39" s="909"/>
      <c r="P39" s="909"/>
      <c r="Q39" s="909"/>
      <c r="R39" s="909"/>
      <c r="S39" s="909"/>
      <c r="T39" s="909"/>
      <c r="U39" s="909"/>
      <c r="V39" s="898"/>
    </row>
    <row r="40" spans="1:23" s="1005" customFormat="1" x14ac:dyDescent="0.2">
      <c r="A40" s="302" t="s">
        <v>1074</v>
      </c>
      <c r="B40" s="1003"/>
      <c r="C40" s="136" t="str">
        <f>IF(ISERROR(C39/$B$39),"",IF(C39/$B$39=0,"",C39/$B$39))</f>
        <v/>
      </c>
      <c r="D40" s="136" t="str">
        <f t="shared" ref="D40:M40" si="10">IF(ISERROR(D39/$B$39),"",IF(D39/$B$39=0,"",D39/$B$39))</f>
        <v/>
      </c>
      <c r="E40" s="136" t="str">
        <f t="shared" si="10"/>
        <v/>
      </c>
      <c r="F40" s="136" t="str">
        <f t="shared" si="10"/>
        <v/>
      </c>
      <c r="G40" s="136" t="str">
        <f t="shared" si="10"/>
        <v/>
      </c>
      <c r="H40" s="136" t="str">
        <f t="shared" si="10"/>
        <v/>
      </c>
      <c r="I40" s="136" t="str">
        <f t="shared" si="10"/>
        <v/>
      </c>
      <c r="J40" s="136" t="str">
        <f t="shared" si="10"/>
        <v/>
      </c>
      <c r="K40" s="136" t="str">
        <f t="shared" si="10"/>
        <v/>
      </c>
      <c r="L40" s="136" t="str">
        <f t="shared" si="10"/>
        <v/>
      </c>
      <c r="M40" s="136" t="str">
        <f t="shared" si="10"/>
        <v/>
      </c>
      <c r="N40" s="958"/>
      <c r="O40" s="958"/>
      <c r="P40" s="958"/>
      <c r="Q40" s="958"/>
      <c r="R40" s="958"/>
      <c r="S40" s="958"/>
      <c r="T40" s="958"/>
      <c r="U40" s="958"/>
      <c r="V40" s="1004"/>
    </row>
    <row r="41" spans="1:23" ht="37.5" customHeight="1" x14ac:dyDescent="0.2">
      <c r="A41" s="860"/>
      <c r="B41" s="860"/>
      <c r="C41" s="860"/>
      <c r="D41" s="860"/>
      <c r="E41" s="860"/>
      <c r="F41" s="860"/>
      <c r="G41" s="860"/>
      <c r="H41" s="860"/>
      <c r="I41" s="860"/>
      <c r="J41" s="860"/>
      <c r="K41" s="860"/>
      <c r="L41" s="860"/>
      <c r="M41" s="860"/>
      <c r="N41" s="860"/>
      <c r="O41" s="860"/>
      <c r="P41" s="860"/>
      <c r="Q41" s="860"/>
      <c r="R41" s="860"/>
      <c r="S41" s="860"/>
      <c r="T41" s="860"/>
      <c r="U41" s="860"/>
      <c r="V41" s="864"/>
    </row>
    <row r="46" spans="1:23" s="896" customFormat="1" hidden="1" x14ac:dyDescent="0.2">
      <c r="B46" s="924" t="s">
        <v>1043</v>
      </c>
      <c r="C46" s="925"/>
      <c r="D46" s="865"/>
      <c r="E46" s="865"/>
      <c r="F46" s="865"/>
      <c r="G46" s="865"/>
      <c r="H46" s="865"/>
      <c r="I46" s="865"/>
      <c r="J46" s="865"/>
      <c r="K46" s="865"/>
      <c r="L46" s="865"/>
      <c r="M46" s="865"/>
      <c r="N46" s="909"/>
      <c r="O46" s="909"/>
      <c r="P46" s="909"/>
      <c r="Q46" s="909"/>
      <c r="R46" s="909"/>
      <c r="S46" s="909"/>
      <c r="T46" s="909"/>
      <c r="U46" s="909"/>
      <c r="V46" s="909"/>
    </row>
    <row r="47" spans="1:23" s="896" customFormat="1" hidden="1" x14ac:dyDescent="0.2">
      <c r="B47" s="924" t="s">
        <v>1044</v>
      </c>
      <c r="C47" s="925"/>
      <c r="D47" s="865"/>
      <c r="E47" s="865"/>
      <c r="F47" s="865"/>
      <c r="G47" s="865"/>
      <c r="H47" s="865"/>
      <c r="I47" s="865"/>
      <c r="J47" s="865"/>
      <c r="K47" s="865"/>
      <c r="L47" s="865"/>
      <c r="M47" s="865"/>
      <c r="N47" s="909"/>
      <c r="O47" s="909"/>
      <c r="P47" s="909"/>
      <c r="Q47" s="909"/>
      <c r="R47" s="909"/>
      <c r="S47" s="909"/>
      <c r="T47" s="909"/>
      <c r="U47" s="909"/>
      <c r="V47" s="909"/>
    </row>
    <row r="48" spans="1:23" s="896" customFormat="1" x14ac:dyDescent="0.2">
      <c r="B48" s="924"/>
      <c r="C48" s="925"/>
      <c r="D48" s="865"/>
      <c r="E48" s="865"/>
      <c r="F48" s="865"/>
      <c r="G48" s="865"/>
      <c r="H48" s="865"/>
      <c r="I48" s="865"/>
      <c r="J48" s="865"/>
      <c r="K48" s="865"/>
      <c r="L48" s="865"/>
      <c r="M48" s="865"/>
      <c r="N48" s="865"/>
      <c r="O48" s="865"/>
      <c r="P48" s="865"/>
      <c r="Q48" s="865"/>
      <c r="R48" s="865"/>
      <c r="S48" s="865"/>
      <c r="T48" s="865"/>
      <c r="U48" s="865"/>
      <c r="V48" s="865"/>
      <c r="W48" s="865"/>
    </row>
    <row r="49" spans="2:23" s="896" customFormat="1" x14ac:dyDescent="0.2">
      <c r="B49" s="924"/>
      <c r="C49" s="925"/>
      <c r="D49" s="865"/>
      <c r="E49" s="865"/>
      <c r="F49" s="865"/>
      <c r="G49" s="865"/>
      <c r="H49" s="865"/>
      <c r="I49" s="865"/>
      <c r="J49" s="865"/>
      <c r="K49" s="865"/>
      <c r="L49" s="865"/>
      <c r="M49" s="865"/>
      <c r="N49" s="865"/>
      <c r="O49" s="865"/>
      <c r="P49" s="865"/>
      <c r="Q49" s="865"/>
      <c r="R49" s="865"/>
      <c r="S49" s="865"/>
      <c r="T49" s="865"/>
      <c r="U49" s="865"/>
      <c r="V49" s="865"/>
      <c r="W49" s="865"/>
    </row>
    <row r="50" spans="2:23" s="896" customFormat="1" x14ac:dyDescent="0.2">
      <c r="B50" s="924"/>
      <c r="C50" s="925"/>
      <c r="D50" s="865"/>
      <c r="E50" s="865"/>
      <c r="F50" s="865"/>
      <c r="G50" s="865"/>
      <c r="H50" s="865"/>
      <c r="I50" s="865"/>
      <c r="J50" s="865"/>
      <c r="K50" s="865"/>
      <c r="L50" s="865"/>
      <c r="M50" s="865"/>
      <c r="N50" s="865"/>
      <c r="O50" s="865"/>
      <c r="P50" s="865"/>
      <c r="Q50" s="865"/>
      <c r="R50" s="865"/>
      <c r="S50" s="865"/>
      <c r="T50" s="865"/>
      <c r="U50" s="865"/>
      <c r="V50" s="865"/>
      <c r="W50" s="865"/>
    </row>
    <row r="51" spans="2:23" s="896" customFormat="1" x14ac:dyDescent="0.2">
      <c r="B51" s="924"/>
      <c r="C51" s="925"/>
      <c r="D51" s="865"/>
      <c r="E51" s="865"/>
      <c r="F51" s="865"/>
      <c r="G51" s="865"/>
      <c r="H51" s="865"/>
      <c r="I51" s="865"/>
      <c r="J51" s="865"/>
      <c r="K51" s="865"/>
      <c r="L51" s="865"/>
      <c r="M51" s="865"/>
      <c r="N51" s="865"/>
      <c r="O51" s="865"/>
      <c r="P51" s="865"/>
      <c r="Q51" s="865"/>
      <c r="R51" s="865"/>
      <c r="S51" s="865"/>
      <c r="T51" s="865"/>
      <c r="U51" s="865"/>
      <c r="V51" s="865"/>
      <c r="W51" s="865"/>
    </row>
    <row r="52" spans="2:23" s="896" customFormat="1" x14ac:dyDescent="0.2">
      <c r="B52" s="924"/>
      <c r="C52" s="925"/>
      <c r="D52" s="865"/>
      <c r="E52" s="865"/>
      <c r="F52" s="865"/>
      <c r="G52" s="865"/>
      <c r="H52" s="865"/>
      <c r="I52" s="865"/>
      <c r="J52" s="865"/>
      <c r="K52" s="865"/>
      <c r="L52" s="865"/>
      <c r="M52" s="865"/>
      <c r="N52" s="865"/>
      <c r="O52" s="865"/>
      <c r="P52" s="865"/>
      <c r="Q52" s="865"/>
      <c r="R52" s="865"/>
      <c r="S52" s="865"/>
      <c r="T52" s="865"/>
      <c r="U52" s="865"/>
      <c r="V52" s="865"/>
      <c r="W52" s="865"/>
    </row>
    <row r="53" spans="2:23" s="896" customFormat="1" x14ac:dyDescent="0.2">
      <c r="B53" s="924"/>
      <c r="C53" s="925"/>
      <c r="D53" s="865"/>
      <c r="E53" s="865"/>
      <c r="F53" s="865"/>
      <c r="G53" s="865"/>
      <c r="H53" s="865"/>
      <c r="I53" s="865"/>
      <c r="J53" s="865"/>
      <c r="K53" s="865"/>
      <c r="L53" s="865"/>
      <c r="M53" s="865"/>
      <c r="N53" s="865"/>
      <c r="O53" s="865"/>
      <c r="P53" s="865"/>
      <c r="Q53" s="865"/>
      <c r="R53" s="865"/>
      <c r="S53" s="865"/>
      <c r="T53" s="865"/>
      <c r="U53" s="865"/>
      <c r="V53" s="865"/>
      <c r="W53" s="865"/>
    </row>
    <row r="54" spans="2:23" s="896" customFormat="1" x14ac:dyDescent="0.2">
      <c r="B54" s="924"/>
      <c r="C54" s="925"/>
      <c r="D54" s="865"/>
      <c r="E54" s="865"/>
      <c r="F54" s="865"/>
      <c r="G54" s="865"/>
      <c r="H54" s="865"/>
      <c r="I54" s="865"/>
      <c r="J54" s="865"/>
      <c r="K54" s="865"/>
      <c r="L54" s="865"/>
      <c r="M54" s="865"/>
      <c r="N54" s="865"/>
      <c r="O54" s="865"/>
      <c r="P54" s="865"/>
      <c r="Q54" s="865"/>
      <c r="R54" s="865"/>
      <c r="S54" s="865"/>
      <c r="T54" s="865"/>
      <c r="U54" s="865"/>
      <c r="V54" s="865"/>
      <c r="W54" s="865"/>
    </row>
    <row r="55" spans="2:23" s="896" customFormat="1" x14ac:dyDescent="0.2">
      <c r="B55" s="924"/>
      <c r="C55" s="925"/>
      <c r="D55" s="865"/>
      <c r="E55" s="865"/>
      <c r="F55" s="865"/>
      <c r="G55" s="865"/>
      <c r="H55" s="865"/>
      <c r="I55" s="865"/>
      <c r="J55" s="865"/>
      <c r="K55" s="865"/>
      <c r="L55" s="865"/>
      <c r="M55" s="865"/>
      <c r="N55" s="865"/>
      <c r="O55" s="865"/>
      <c r="P55" s="865"/>
      <c r="Q55" s="865"/>
      <c r="R55" s="865"/>
      <c r="S55" s="865"/>
      <c r="T55" s="865"/>
      <c r="U55" s="865"/>
      <c r="V55" s="865"/>
      <c r="W55" s="865"/>
    </row>
    <row r="56" spans="2:23" s="896" customFormat="1" x14ac:dyDescent="0.2">
      <c r="B56" s="924"/>
      <c r="C56" s="925"/>
      <c r="D56" s="865"/>
      <c r="E56" s="865"/>
      <c r="F56" s="865"/>
      <c r="G56" s="865"/>
      <c r="H56" s="865"/>
      <c r="I56" s="865"/>
      <c r="J56" s="865"/>
      <c r="K56" s="865"/>
      <c r="L56" s="865"/>
      <c r="M56" s="865"/>
      <c r="N56" s="865"/>
      <c r="O56" s="865"/>
      <c r="P56" s="865"/>
      <c r="Q56" s="865"/>
      <c r="R56" s="865"/>
      <c r="S56" s="865"/>
      <c r="T56" s="865"/>
      <c r="U56" s="865"/>
      <c r="V56" s="865"/>
      <c r="W56" s="865"/>
    </row>
  </sheetData>
  <protectedRanges>
    <protectedRange sqref="B2" name="Range2"/>
    <protectedRange sqref="B35:M35 B37:M37 B39:M39 B32:M33 B16:U18 B24:M24 B26:M26 B28:M28 B21:M22 C31:M31" name="Range1"/>
  </protectedRanges>
  <dataConsolidate/>
  <mergeCells count="1">
    <mergeCell ref="B2:C2"/>
  </mergeCells>
  <phoneticPr fontId="0" type="noConversion"/>
  <conditionalFormatting sqref="B16:U18">
    <cfRule type="cellIs" dxfId="45" priority="61" stopIfTrue="1" operator="greaterThan">
      <formula>0</formula>
    </cfRule>
  </conditionalFormatting>
  <conditionalFormatting sqref="A23:XFD23">
    <cfRule type="colorScale" priority="58">
      <colorScale>
        <cfvo type="min"/>
        <cfvo type="max"/>
        <color rgb="FFFFEF9C"/>
        <color rgb="FFFF7128"/>
      </colorScale>
    </cfRule>
    <cfRule type="top10" dxfId="44" priority="59" stopIfTrue="1" rank="1"/>
    <cfRule type="top10" dxfId="43" priority="60" stopIfTrue="1" rank="1"/>
  </conditionalFormatting>
  <conditionalFormatting sqref="A34:XFD34">
    <cfRule type="colorScale" priority="55">
      <colorScale>
        <cfvo type="min"/>
        <cfvo type="max"/>
        <color rgb="FFFFEF9C"/>
        <color rgb="FFFF7128"/>
      </colorScale>
    </cfRule>
    <cfRule type="top10" dxfId="42" priority="56" stopIfTrue="1" rank="1"/>
    <cfRule type="top10" dxfId="41" priority="57" stopIfTrue="1" rank="1"/>
  </conditionalFormatting>
  <conditionalFormatting sqref="B21:M21 B22:U22">
    <cfRule type="cellIs" dxfId="40" priority="48" stopIfTrue="1" operator="greaterThan">
      <formula>0</formula>
    </cfRule>
  </conditionalFormatting>
  <conditionalFormatting sqref="B24:U24">
    <cfRule type="cellIs" dxfId="39" priority="47" stopIfTrue="1" operator="greaterThan">
      <formula>0</formula>
    </cfRule>
  </conditionalFormatting>
  <conditionalFormatting sqref="B26:U26">
    <cfRule type="cellIs" dxfId="38" priority="46" stopIfTrue="1" operator="greaterThan">
      <formula>0</formula>
    </cfRule>
  </conditionalFormatting>
  <conditionalFormatting sqref="B28:U28">
    <cfRule type="cellIs" dxfId="37" priority="45" stopIfTrue="1" operator="greaterThan">
      <formula>0</formula>
    </cfRule>
  </conditionalFormatting>
  <conditionalFormatting sqref="B33:U33 B32:M32 C31:M31">
    <cfRule type="cellIs" dxfId="36" priority="44" stopIfTrue="1" operator="greaterThan">
      <formula>0</formula>
    </cfRule>
  </conditionalFormatting>
  <conditionalFormatting sqref="B35:U35">
    <cfRule type="cellIs" dxfId="35" priority="43" stopIfTrue="1" operator="greaterThan">
      <formula>0</formula>
    </cfRule>
  </conditionalFormatting>
  <conditionalFormatting sqref="B37:U37">
    <cfRule type="cellIs" dxfId="34" priority="42" stopIfTrue="1" operator="greaterThan">
      <formula>0</formula>
    </cfRule>
  </conditionalFormatting>
  <conditionalFormatting sqref="B39:U39">
    <cfRule type="cellIs" dxfId="33" priority="41" stopIfTrue="1" operator="greaterThan">
      <formula>0</formula>
    </cfRule>
  </conditionalFormatting>
  <conditionalFormatting sqref="A25">
    <cfRule type="colorScale" priority="38">
      <colorScale>
        <cfvo type="min"/>
        <cfvo type="max"/>
        <color rgb="FFFFEF9C"/>
        <color rgb="FFFF7128"/>
      </colorScale>
    </cfRule>
    <cfRule type="top10" dxfId="32" priority="39" stopIfTrue="1" rank="1"/>
    <cfRule type="top10" dxfId="31" priority="40" stopIfTrue="1" rank="1"/>
  </conditionalFormatting>
  <conditionalFormatting sqref="A27">
    <cfRule type="colorScale" priority="35">
      <colorScale>
        <cfvo type="min"/>
        <cfvo type="max"/>
        <color rgb="FFFFEF9C"/>
        <color rgb="FFFF7128"/>
      </colorScale>
    </cfRule>
    <cfRule type="top10" dxfId="30" priority="36" stopIfTrue="1" rank="1"/>
    <cfRule type="top10" dxfId="29" priority="37" stopIfTrue="1" rank="1"/>
  </conditionalFormatting>
  <conditionalFormatting sqref="A29">
    <cfRule type="colorScale" priority="32">
      <colorScale>
        <cfvo type="min"/>
        <cfvo type="max"/>
        <color rgb="FFFFEF9C"/>
        <color rgb="FFFF7128"/>
      </colorScale>
    </cfRule>
    <cfRule type="top10" dxfId="28" priority="33" stopIfTrue="1" rank="1"/>
    <cfRule type="top10" dxfId="27" priority="34" stopIfTrue="1" rank="1"/>
  </conditionalFormatting>
  <conditionalFormatting sqref="A34">
    <cfRule type="colorScale" priority="29">
      <colorScale>
        <cfvo type="min"/>
        <cfvo type="max"/>
        <color rgb="FFFFEF9C"/>
        <color rgb="FFFF7128"/>
      </colorScale>
    </cfRule>
    <cfRule type="top10" dxfId="26" priority="30" stopIfTrue="1" rank="1"/>
    <cfRule type="top10" dxfId="25" priority="31" stopIfTrue="1" rank="1"/>
  </conditionalFormatting>
  <conditionalFormatting sqref="A36">
    <cfRule type="colorScale" priority="26">
      <colorScale>
        <cfvo type="min"/>
        <cfvo type="max"/>
        <color rgb="FFFFEF9C"/>
        <color rgb="FFFF7128"/>
      </colorScale>
    </cfRule>
    <cfRule type="top10" dxfId="24" priority="27" stopIfTrue="1" rank="1"/>
    <cfRule type="top10" dxfId="23" priority="28" stopIfTrue="1" rank="1"/>
  </conditionalFormatting>
  <conditionalFormatting sqref="A38">
    <cfRule type="colorScale" priority="23">
      <colorScale>
        <cfvo type="min"/>
        <cfvo type="max"/>
        <color rgb="FFFFEF9C"/>
        <color rgb="FFFF7128"/>
      </colorScale>
    </cfRule>
    <cfRule type="top10" dxfId="22" priority="24" stopIfTrue="1" rank="1"/>
    <cfRule type="top10" dxfId="21" priority="25" stopIfTrue="1" rank="1"/>
  </conditionalFormatting>
  <conditionalFormatting sqref="A40">
    <cfRule type="colorScale" priority="20">
      <colorScale>
        <cfvo type="min"/>
        <cfvo type="max"/>
        <color rgb="FFFFEF9C"/>
        <color rgb="FFFF7128"/>
      </colorScale>
    </cfRule>
    <cfRule type="top10" dxfId="20" priority="21" stopIfTrue="1" rank="1"/>
    <cfRule type="top10" dxfId="19" priority="22" stopIfTrue="1" rank="1"/>
  </conditionalFormatting>
  <conditionalFormatting sqref="B2:C2">
    <cfRule type="containsText" dxfId="18" priority="19" stopIfTrue="1" operator="containsText" text="PEAK">
      <formula>NOT(ISERROR(SEARCH("PEAK",B2)))</formula>
    </cfRule>
  </conditionalFormatting>
  <conditionalFormatting sqref="A36">
    <cfRule type="colorScale" priority="16">
      <colorScale>
        <cfvo type="min"/>
        <cfvo type="max"/>
        <color rgb="FFFFEF9C"/>
        <color rgb="FFFF7128"/>
      </colorScale>
    </cfRule>
    <cfRule type="top10" dxfId="17" priority="17" stopIfTrue="1" rank="1"/>
    <cfRule type="top10" dxfId="16" priority="18" stopIfTrue="1" rank="1"/>
  </conditionalFormatting>
  <conditionalFormatting sqref="A36">
    <cfRule type="colorScale" priority="13">
      <colorScale>
        <cfvo type="min"/>
        <cfvo type="max"/>
        <color rgb="FFFFEF9C"/>
        <color rgb="FFFF7128"/>
      </colorScale>
    </cfRule>
    <cfRule type="top10" dxfId="15" priority="14" stopIfTrue="1" rank="1"/>
    <cfRule type="top10" dxfId="14" priority="15" stopIfTrue="1" rank="1"/>
  </conditionalFormatting>
  <conditionalFormatting sqref="A38">
    <cfRule type="colorScale" priority="10">
      <colorScale>
        <cfvo type="min"/>
        <cfvo type="max"/>
        <color rgb="FFFFEF9C"/>
        <color rgb="FFFF7128"/>
      </colorScale>
    </cfRule>
    <cfRule type="top10" dxfId="13" priority="11" stopIfTrue="1" rank="1"/>
    <cfRule type="top10" dxfId="12" priority="12" stopIfTrue="1" rank="1"/>
  </conditionalFormatting>
  <conditionalFormatting sqref="A38">
    <cfRule type="colorScale" priority="7">
      <colorScale>
        <cfvo type="min"/>
        <cfvo type="max"/>
        <color rgb="FFFFEF9C"/>
        <color rgb="FFFF7128"/>
      </colorScale>
    </cfRule>
    <cfRule type="top10" dxfId="11" priority="8" stopIfTrue="1" rank="1"/>
    <cfRule type="top10" dxfId="10" priority="9" stopIfTrue="1" rank="1"/>
  </conditionalFormatting>
  <conditionalFormatting sqref="A40">
    <cfRule type="colorScale" priority="4">
      <colorScale>
        <cfvo type="min"/>
        <cfvo type="max"/>
        <color rgb="FFFFEF9C"/>
        <color rgb="FFFF7128"/>
      </colorScale>
    </cfRule>
    <cfRule type="top10" dxfId="9" priority="5" stopIfTrue="1" rank="1"/>
    <cfRule type="top10" dxfId="8" priority="6" stopIfTrue="1" rank="1"/>
  </conditionalFormatting>
  <conditionalFormatting sqref="A40">
    <cfRule type="colorScale" priority="1">
      <colorScale>
        <cfvo type="min"/>
        <cfvo type="max"/>
        <color rgb="FFFFEF9C"/>
        <color rgb="FFFF7128"/>
      </colorScale>
    </cfRule>
    <cfRule type="top10" dxfId="7" priority="2" stopIfTrue="1" rank="1"/>
    <cfRule type="top10" dxfId="6" priority="3" stopIfTrue="1" rank="1"/>
  </conditionalFormatting>
  <conditionalFormatting sqref="A25:XFD25">
    <cfRule type="colorScale" priority="54">
      <colorScale>
        <cfvo type="min"/>
        <cfvo type="max"/>
        <color rgb="FFFFEF9C"/>
        <color rgb="FFFF7128"/>
      </colorScale>
    </cfRule>
  </conditionalFormatting>
  <conditionalFormatting sqref="A27:XFD27">
    <cfRule type="colorScale" priority="53">
      <colorScale>
        <cfvo type="min"/>
        <cfvo type="max"/>
        <color rgb="FFFFEF9C"/>
        <color rgb="FFFF7128"/>
      </colorScale>
    </cfRule>
  </conditionalFormatting>
  <conditionalFormatting sqref="A29:XFD29">
    <cfRule type="colorScale" priority="52">
      <colorScale>
        <cfvo type="min"/>
        <cfvo type="max"/>
        <color rgb="FFFFEF9C"/>
        <color rgb="FFFF7128"/>
      </colorScale>
    </cfRule>
  </conditionalFormatting>
  <conditionalFormatting sqref="A36:XFD36">
    <cfRule type="colorScale" priority="51">
      <colorScale>
        <cfvo type="min"/>
        <cfvo type="max"/>
        <color rgb="FFFFEF9C"/>
        <color rgb="FFFF7128"/>
      </colorScale>
    </cfRule>
  </conditionalFormatting>
  <conditionalFormatting sqref="A38:XFD38">
    <cfRule type="colorScale" priority="50">
      <colorScale>
        <cfvo type="min"/>
        <cfvo type="max"/>
        <color rgb="FFFFEF9C"/>
        <color rgb="FFFF7128"/>
      </colorScale>
    </cfRule>
  </conditionalFormatting>
  <conditionalFormatting sqref="A40:XFD40">
    <cfRule type="colorScale" priority="49">
      <colorScale>
        <cfvo type="min"/>
        <cfvo type="max"/>
        <color rgb="FFFFEF9C"/>
        <color rgb="FFFF7128"/>
      </colorScale>
    </cfRule>
  </conditionalFormatting>
  <dataValidations count="1">
    <dataValidation type="list" allowBlank="1" showInputMessage="1" showErrorMessage="1" sqref="B2:C2" xr:uid="{00000000-0002-0000-0F00-000000000000}">
      <formula1>$B$46:$B$48</formula1>
    </dataValidation>
  </dataValidations>
  <pageMargins left="0.7" right="0.7" top="0.75" bottom="0.75" header="0.3" footer="0.3"/>
  <pageSetup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J37"/>
  <sheetViews>
    <sheetView workbookViewId="0">
      <selection activeCell="G4" sqref="G4"/>
    </sheetView>
  </sheetViews>
  <sheetFormatPr defaultRowHeight="12.75" x14ac:dyDescent="0.2"/>
  <cols>
    <col min="1" max="1" width="22.7109375" customWidth="1"/>
    <col min="2" max="2" width="10.7109375" style="865" customWidth="1"/>
    <col min="3" max="3" width="5.42578125" style="866" customWidth="1"/>
    <col min="4" max="5" width="10.7109375" style="865" customWidth="1"/>
    <col min="6" max="6" width="5.140625" style="867" customWidth="1"/>
    <col min="7" max="9" width="10.7109375" style="865" customWidth="1"/>
    <col min="10" max="10" width="47.140625" customWidth="1"/>
  </cols>
  <sheetData>
    <row r="1" spans="1:10" x14ac:dyDescent="0.2">
      <c r="A1" s="772" t="s">
        <v>589</v>
      </c>
      <c r="B1" s="842"/>
      <c r="C1" s="843"/>
      <c r="D1" s="842"/>
      <c r="E1" s="842"/>
      <c r="F1" s="844"/>
      <c r="G1" s="842"/>
      <c r="H1" s="842"/>
      <c r="I1" s="842"/>
      <c r="J1" s="845"/>
    </row>
    <row r="2" spans="1:10" x14ac:dyDescent="0.2">
      <c r="A2" s="1134" t="s">
        <v>561</v>
      </c>
      <c r="B2" s="1132" t="s">
        <v>376</v>
      </c>
      <c r="C2" s="1132"/>
      <c r="D2" s="1132"/>
      <c r="E2" s="1132" t="s">
        <v>583</v>
      </c>
      <c r="F2" s="1132"/>
      <c r="G2" s="1132"/>
      <c r="H2" s="1133" t="s">
        <v>584</v>
      </c>
      <c r="I2" s="1133"/>
      <c r="J2" s="847"/>
    </row>
    <row r="3" spans="1:10" s="852" customFormat="1" ht="38.25" customHeight="1" x14ac:dyDescent="0.2">
      <c r="A3" s="1135"/>
      <c r="B3" s="848" t="s">
        <v>585</v>
      </c>
      <c r="C3" s="849" t="s">
        <v>586</v>
      </c>
      <c r="D3" s="848" t="s">
        <v>562</v>
      </c>
      <c r="E3" s="848" t="s">
        <v>585</v>
      </c>
      <c r="F3" s="850" t="s">
        <v>586</v>
      </c>
      <c r="G3" s="848" t="s">
        <v>562</v>
      </c>
      <c r="H3" s="848" t="s">
        <v>585</v>
      </c>
      <c r="I3" s="848" t="s">
        <v>562</v>
      </c>
      <c r="J3" s="851"/>
    </row>
    <row r="4" spans="1:10" x14ac:dyDescent="0.2">
      <c r="A4" s="388" t="s">
        <v>557</v>
      </c>
      <c r="B4" s="853"/>
      <c r="C4" s="854" t="str">
        <f t="shared" ref="C4:C36" si="0">IF(ISERROR(B4/D4*100),"",B4/D4*100)</f>
        <v/>
      </c>
      <c r="D4" s="853"/>
      <c r="E4" s="853"/>
      <c r="F4" s="854" t="str">
        <f t="shared" ref="F4:F36" si="1">IF(ISERROR(E4/G4*100),"",E4/G4*100)</f>
        <v/>
      </c>
      <c r="G4" s="853"/>
      <c r="H4" s="853" t="str">
        <f t="shared" ref="H4:H10" si="2">IF(E4-B4=0, "", E4-B4)</f>
        <v/>
      </c>
      <c r="I4" s="853" t="str">
        <f>IF(G4-D4=0, "", G4-D4)</f>
        <v/>
      </c>
      <c r="J4" s="847"/>
    </row>
    <row r="5" spans="1:10" x14ac:dyDescent="0.2">
      <c r="A5" s="388" t="s">
        <v>563</v>
      </c>
      <c r="B5" s="853"/>
      <c r="C5" s="854" t="str">
        <f t="shared" si="0"/>
        <v/>
      </c>
      <c r="D5" s="853"/>
      <c r="E5" s="853"/>
      <c r="F5" s="854" t="str">
        <f t="shared" si="1"/>
        <v/>
      </c>
      <c r="G5" s="853"/>
      <c r="H5" s="853" t="str">
        <f t="shared" si="2"/>
        <v/>
      </c>
      <c r="I5" s="853" t="str">
        <f t="shared" ref="I5:I10" si="3">IF(G5-D5=0, "", G5-D5)</f>
        <v/>
      </c>
      <c r="J5" s="847"/>
    </row>
    <row r="6" spans="1:10" x14ac:dyDescent="0.2">
      <c r="A6" s="388" t="s">
        <v>564</v>
      </c>
      <c r="B6" s="853"/>
      <c r="C6" s="854" t="str">
        <f t="shared" si="0"/>
        <v/>
      </c>
      <c r="D6" s="853"/>
      <c r="E6" s="853"/>
      <c r="F6" s="854" t="str">
        <f t="shared" si="1"/>
        <v/>
      </c>
      <c r="G6" s="853"/>
      <c r="H6" s="853" t="str">
        <f t="shared" si="2"/>
        <v/>
      </c>
      <c r="I6" s="853" t="str">
        <f t="shared" si="3"/>
        <v/>
      </c>
      <c r="J6" s="847"/>
    </row>
    <row r="7" spans="1:10" x14ac:dyDescent="0.2">
      <c r="A7" s="388" t="s">
        <v>591</v>
      </c>
      <c r="B7" s="853"/>
      <c r="C7" s="854" t="str">
        <f t="shared" si="0"/>
        <v/>
      </c>
      <c r="D7" s="853"/>
      <c r="E7" s="853"/>
      <c r="F7" s="854" t="str">
        <f t="shared" si="1"/>
        <v/>
      </c>
      <c r="G7" s="853"/>
      <c r="H7" s="853" t="str">
        <f t="shared" si="2"/>
        <v/>
      </c>
      <c r="I7" s="853" t="str">
        <f t="shared" si="3"/>
        <v/>
      </c>
      <c r="J7" s="847"/>
    </row>
    <row r="8" spans="1:10" x14ac:dyDescent="0.2">
      <c r="A8" s="388" t="s">
        <v>565</v>
      </c>
      <c r="B8" s="853"/>
      <c r="C8" s="854" t="str">
        <f t="shared" si="0"/>
        <v/>
      </c>
      <c r="D8" s="853"/>
      <c r="E8" s="853"/>
      <c r="F8" s="854" t="str">
        <f t="shared" si="1"/>
        <v/>
      </c>
      <c r="G8" s="853"/>
      <c r="H8" s="853" t="str">
        <f t="shared" si="2"/>
        <v/>
      </c>
      <c r="I8" s="853" t="str">
        <f t="shared" si="3"/>
        <v/>
      </c>
      <c r="J8" s="847"/>
    </row>
    <row r="9" spans="1:10" x14ac:dyDescent="0.2">
      <c r="A9" s="388" t="s">
        <v>566</v>
      </c>
      <c r="B9" s="853"/>
      <c r="C9" s="854" t="str">
        <f t="shared" si="0"/>
        <v/>
      </c>
      <c r="D9" s="853"/>
      <c r="E9" s="853"/>
      <c r="F9" s="854" t="str">
        <f t="shared" si="1"/>
        <v/>
      </c>
      <c r="G9" s="853"/>
      <c r="H9" s="853" t="str">
        <f t="shared" si="2"/>
        <v/>
      </c>
      <c r="I9" s="853" t="str">
        <f t="shared" si="3"/>
        <v/>
      </c>
      <c r="J9" s="847"/>
    </row>
    <row r="10" spans="1:10" x14ac:dyDescent="0.2">
      <c r="A10" s="388" t="s">
        <v>594</v>
      </c>
      <c r="B10" s="853"/>
      <c r="C10" s="854" t="str">
        <f t="shared" si="0"/>
        <v/>
      </c>
      <c r="D10" s="853"/>
      <c r="E10" s="853"/>
      <c r="F10" s="854" t="str">
        <f t="shared" si="1"/>
        <v/>
      </c>
      <c r="G10" s="853"/>
      <c r="H10" s="853" t="str">
        <f t="shared" si="2"/>
        <v/>
      </c>
      <c r="I10" s="853" t="str">
        <f t="shared" si="3"/>
        <v/>
      </c>
      <c r="J10" s="847"/>
    </row>
    <row r="11" spans="1:10" x14ac:dyDescent="0.2">
      <c r="A11" s="855" t="s">
        <v>1024</v>
      </c>
      <c r="B11" s="846"/>
      <c r="C11" s="856"/>
      <c r="D11" s="846"/>
      <c r="E11" s="846"/>
      <c r="F11" s="856"/>
      <c r="G11" s="846"/>
      <c r="H11" s="846"/>
      <c r="I11" s="846"/>
      <c r="J11" s="847"/>
    </row>
    <row r="12" spans="1:10" x14ac:dyDescent="0.2">
      <c r="A12" s="388" t="s">
        <v>1025</v>
      </c>
      <c r="B12" s="853"/>
      <c r="C12" s="854" t="str">
        <f t="shared" si="0"/>
        <v/>
      </c>
      <c r="D12" s="853"/>
      <c r="E12" s="853"/>
      <c r="F12" s="854" t="str">
        <f>IF(ISERROR(E12/G12*100),"",E12/G12*100)</f>
        <v/>
      </c>
      <c r="G12" s="853"/>
      <c r="H12" s="853" t="str">
        <f>IF(E12-B12=0, "", E12-B12)</f>
        <v/>
      </c>
      <c r="I12" s="853" t="str">
        <f>IF(G12-D12=0, "", G12-D12)</f>
        <v/>
      </c>
      <c r="J12" s="847"/>
    </row>
    <row r="13" spans="1:10" x14ac:dyDescent="0.2">
      <c r="A13" s="388" t="s">
        <v>565</v>
      </c>
      <c r="B13" s="853"/>
      <c r="C13" s="854" t="str">
        <f>IF(ISERROR(B13/D13*100),"",B13/D13*100)</f>
        <v/>
      </c>
      <c r="D13" s="853"/>
      <c r="E13" s="853"/>
      <c r="F13" s="854" t="str">
        <f>IF(ISERROR(E13/G13*100),"",E13/G13*100)</f>
        <v/>
      </c>
      <c r="G13" s="853"/>
      <c r="H13" s="853" t="str">
        <f>IF(E13-B13=0, "", E13-B13)</f>
        <v/>
      </c>
      <c r="I13" s="853" t="str">
        <f>IF(G13-D13=0, "", G13-D13)</f>
        <v/>
      </c>
      <c r="J13" s="847"/>
    </row>
    <row r="14" spans="1:10" x14ac:dyDescent="0.2">
      <c r="A14" s="388" t="s">
        <v>566</v>
      </c>
      <c r="B14" s="853"/>
      <c r="C14" s="854" t="str">
        <f>IF(ISERROR(B14/D14*100),"",B14/D14*100)</f>
        <v/>
      </c>
      <c r="D14" s="853"/>
      <c r="E14" s="853"/>
      <c r="F14" s="854" t="str">
        <f>IF(ISERROR(E14/G14*100),"",E14/G14*100)</f>
        <v/>
      </c>
      <c r="G14" s="853"/>
      <c r="H14" s="853" t="str">
        <f>IF(E14-B14=0, "", E14-B14)</f>
        <v/>
      </c>
      <c r="I14" s="853" t="str">
        <f>IF(G14-D14=0, "", G14-D14)</f>
        <v/>
      </c>
      <c r="J14" s="847"/>
    </row>
    <row r="15" spans="1:10" s="857" customFormat="1" x14ac:dyDescent="0.2">
      <c r="A15" s="855" t="s">
        <v>567</v>
      </c>
      <c r="B15" s="846">
        <f>SUM(B4:B10)</f>
        <v>0</v>
      </c>
      <c r="C15" s="856" t="str">
        <f t="shared" si="0"/>
        <v/>
      </c>
      <c r="D15" s="846">
        <f>SUM(D4:D10)</f>
        <v>0</v>
      </c>
      <c r="E15" s="846">
        <f>SUM(E4:E10)</f>
        <v>0</v>
      </c>
      <c r="F15" s="856" t="str">
        <f t="shared" si="1"/>
        <v/>
      </c>
      <c r="G15" s="846">
        <f>SUM(G4:G10)</f>
        <v>0</v>
      </c>
      <c r="H15" s="846">
        <f>SUM(H4:H10)</f>
        <v>0</v>
      </c>
      <c r="I15" s="846">
        <f>SUM(I4:I10)</f>
        <v>0</v>
      </c>
      <c r="J15" s="693"/>
    </row>
    <row r="16" spans="1:10" x14ac:dyDescent="0.2">
      <c r="A16" s="388" t="s">
        <v>653</v>
      </c>
      <c r="B16" s="853"/>
      <c r="C16" s="854" t="str">
        <f t="shared" si="0"/>
        <v/>
      </c>
      <c r="D16" s="853"/>
      <c r="E16" s="853"/>
      <c r="F16" s="854" t="str">
        <f t="shared" si="1"/>
        <v/>
      </c>
      <c r="G16" s="853"/>
      <c r="H16" s="853" t="str">
        <f>IF(E16-B16=0, "", E16-B16)</f>
        <v/>
      </c>
      <c r="I16" s="853" t="str">
        <f>IF(G16-D16=0, "", G16-D16)</f>
        <v/>
      </c>
      <c r="J16" s="847"/>
    </row>
    <row r="17" spans="1:10" x14ac:dyDescent="0.2">
      <c r="A17" s="388" t="s">
        <v>654</v>
      </c>
      <c r="B17" s="853"/>
      <c r="C17" s="854" t="str">
        <f t="shared" si="0"/>
        <v/>
      </c>
      <c r="D17" s="853"/>
      <c r="E17" s="853"/>
      <c r="F17" s="854" t="str">
        <f t="shared" si="1"/>
        <v/>
      </c>
      <c r="G17" s="853"/>
      <c r="H17" s="853" t="str">
        <f>IF(E17-B17=0, "", E17-B17)</f>
        <v/>
      </c>
      <c r="I17" s="853" t="str">
        <f>IF(G17-D17=0, "", G17-D17)</f>
        <v/>
      </c>
      <c r="J17" s="847"/>
    </row>
    <row r="18" spans="1:10" x14ac:dyDescent="0.2">
      <c r="A18" s="388" t="s">
        <v>590</v>
      </c>
      <c r="B18" s="853"/>
      <c r="C18" s="854" t="str">
        <f t="shared" si="0"/>
        <v/>
      </c>
      <c r="D18" s="853"/>
      <c r="E18" s="853"/>
      <c r="F18" s="854" t="str">
        <f t="shared" si="1"/>
        <v/>
      </c>
      <c r="G18" s="853"/>
      <c r="H18" s="853" t="str">
        <f>IF(E18-B18=0, "", E18-B18)</f>
        <v/>
      </c>
      <c r="I18" s="853" t="str">
        <f>IF(G18-D18=0, "", G18-D18)</f>
        <v/>
      </c>
      <c r="J18" s="847"/>
    </row>
    <row r="19" spans="1:10" x14ac:dyDescent="0.2">
      <c r="A19" s="388" t="s">
        <v>568</v>
      </c>
      <c r="B19" s="853"/>
      <c r="C19" s="854" t="str">
        <f t="shared" si="0"/>
        <v/>
      </c>
      <c r="D19" s="853"/>
      <c r="E19" s="853"/>
      <c r="F19" s="854" t="str">
        <f t="shared" si="1"/>
        <v/>
      </c>
      <c r="G19" s="853"/>
      <c r="H19" s="853" t="str">
        <f>IF(E19-B19=0, "", E19-B19)</f>
        <v/>
      </c>
      <c r="I19" s="853" t="str">
        <f>IF(G19-D19=0, "", G19-D19)</f>
        <v/>
      </c>
      <c r="J19" s="847"/>
    </row>
    <row r="20" spans="1:10" x14ac:dyDescent="0.2">
      <c r="A20" s="388" t="s">
        <v>569</v>
      </c>
      <c r="B20" s="853"/>
      <c r="C20" s="854" t="str">
        <f t="shared" si="0"/>
        <v/>
      </c>
      <c r="D20" s="853"/>
      <c r="E20" s="853"/>
      <c r="F20" s="854" t="str">
        <f t="shared" si="1"/>
        <v/>
      </c>
      <c r="G20" s="853"/>
      <c r="H20" s="853" t="str">
        <f>IF(E20-B20=0, "", E20-B20)</f>
        <v/>
      </c>
      <c r="I20" s="853" t="str">
        <f>IF(G20-D20=0, "", G20-D20)</f>
        <v/>
      </c>
      <c r="J20" s="847"/>
    </row>
    <row r="21" spans="1:10" s="857" customFormat="1" x14ac:dyDescent="0.2">
      <c r="A21" s="855" t="s">
        <v>570</v>
      </c>
      <c r="B21" s="846">
        <f>SUM(B15:B20)</f>
        <v>0</v>
      </c>
      <c r="C21" s="856" t="str">
        <f t="shared" si="0"/>
        <v/>
      </c>
      <c r="D21" s="846">
        <f>SUM(D15:D20)</f>
        <v>0</v>
      </c>
      <c r="E21" s="846">
        <f>SUM(E15:E20)</f>
        <v>0</v>
      </c>
      <c r="F21" s="856" t="str">
        <f t="shared" si="1"/>
        <v/>
      </c>
      <c r="G21" s="846">
        <f>SUM(G15:G20)</f>
        <v>0</v>
      </c>
      <c r="H21" s="846">
        <f>SUM(H15:H20)</f>
        <v>0</v>
      </c>
      <c r="I21" s="846">
        <f>SUM(I15:I20)</f>
        <v>0</v>
      </c>
      <c r="J21" s="858"/>
    </row>
    <row r="22" spans="1:10" x14ac:dyDescent="0.2">
      <c r="A22" s="388" t="s">
        <v>571</v>
      </c>
      <c r="B22" s="853"/>
      <c r="C22" s="854" t="str">
        <f t="shared" si="0"/>
        <v/>
      </c>
      <c r="D22" s="853"/>
      <c r="E22" s="853"/>
      <c r="F22" s="854" t="str">
        <f t="shared" si="1"/>
        <v/>
      </c>
      <c r="G22" s="853"/>
      <c r="H22" s="853" t="str">
        <f>IF(E22-B22=0, "", E22-B22)</f>
        <v/>
      </c>
      <c r="I22" s="853" t="str">
        <f>IF(G22-D22=0, "", G22-D22)</f>
        <v/>
      </c>
      <c r="J22" s="847"/>
    </row>
    <row r="23" spans="1:10" x14ac:dyDescent="0.2">
      <c r="A23" s="388" t="s">
        <v>572</v>
      </c>
      <c r="B23" s="853"/>
      <c r="C23" s="854" t="str">
        <f t="shared" si="0"/>
        <v/>
      </c>
      <c r="D23" s="853"/>
      <c r="E23" s="853"/>
      <c r="F23" s="854" t="str">
        <f t="shared" si="1"/>
        <v/>
      </c>
      <c r="G23" s="853"/>
      <c r="H23" s="853" t="str">
        <f>IF(E23-B23=0, "", E23-B23)</f>
        <v/>
      </c>
      <c r="I23" s="853" t="str">
        <f>IF(G23-D23=0, "", G23-D23)</f>
        <v/>
      </c>
      <c r="J23" s="847"/>
    </row>
    <row r="24" spans="1:10" s="857" customFormat="1" x14ac:dyDescent="0.2">
      <c r="A24" s="855" t="s">
        <v>573</v>
      </c>
      <c r="B24" s="846">
        <f>SUM(B22:B23)</f>
        <v>0</v>
      </c>
      <c r="C24" s="856" t="str">
        <f t="shared" si="0"/>
        <v/>
      </c>
      <c r="D24" s="846">
        <f t="shared" ref="D24:I24" si="4">SUM(D22:D23)</f>
        <v>0</v>
      </c>
      <c r="E24" s="846">
        <f t="shared" si="4"/>
        <v>0</v>
      </c>
      <c r="F24" s="856" t="str">
        <f t="shared" si="1"/>
        <v/>
      </c>
      <c r="G24" s="846">
        <f t="shared" si="4"/>
        <v>0</v>
      </c>
      <c r="H24" s="846">
        <f t="shared" si="4"/>
        <v>0</v>
      </c>
      <c r="I24" s="846">
        <f t="shared" si="4"/>
        <v>0</v>
      </c>
      <c r="J24" s="693"/>
    </row>
    <row r="25" spans="1:10" x14ac:dyDescent="0.2">
      <c r="A25" s="388" t="s">
        <v>587</v>
      </c>
      <c r="B25" s="853"/>
      <c r="C25" s="854" t="str">
        <f t="shared" si="0"/>
        <v/>
      </c>
      <c r="D25" s="853"/>
      <c r="E25" s="853"/>
      <c r="F25" s="854" t="str">
        <f t="shared" si="1"/>
        <v/>
      </c>
      <c r="G25" s="853"/>
      <c r="H25" s="853" t="str">
        <f>IF(E25-B25=0, "", E25-B25)</f>
        <v/>
      </c>
      <c r="I25" s="853" t="str">
        <f>IF(G25-D25=0, "", G25-D25)</f>
        <v/>
      </c>
      <c r="J25" s="847"/>
    </row>
    <row r="26" spans="1:10" x14ac:dyDescent="0.2">
      <c r="A26" s="388" t="s">
        <v>588</v>
      </c>
      <c r="B26" s="853"/>
      <c r="C26" s="854" t="str">
        <f t="shared" si="0"/>
        <v/>
      </c>
      <c r="D26" s="853"/>
      <c r="E26" s="853"/>
      <c r="F26" s="854" t="str">
        <f t="shared" si="1"/>
        <v/>
      </c>
      <c r="G26" s="853"/>
      <c r="H26" s="853" t="str">
        <f>IF(E26-B26=0, "", E26-B26)</f>
        <v/>
      </c>
      <c r="I26" s="853" t="str">
        <f>IF(G26-D26=0, "", G26-D26)</f>
        <v/>
      </c>
      <c r="J26" s="847"/>
    </row>
    <row r="27" spans="1:10" s="857" customFormat="1" x14ac:dyDescent="0.2">
      <c r="A27" s="855" t="s">
        <v>574</v>
      </c>
      <c r="B27" s="846">
        <f>SUM(B25:B26)</f>
        <v>0</v>
      </c>
      <c r="C27" s="856" t="str">
        <f t="shared" si="0"/>
        <v/>
      </c>
      <c r="D27" s="846">
        <f t="shared" ref="D27:I27" si="5">SUM(D25:D26)</f>
        <v>0</v>
      </c>
      <c r="E27" s="846">
        <f t="shared" si="5"/>
        <v>0</v>
      </c>
      <c r="F27" s="856" t="str">
        <f t="shared" si="1"/>
        <v/>
      </c>
      <c r="G27" s="846">
        <f t="shared" si="5"/>
        <v>0</v>
      </c>
      <c r="H27" s="846">
        <f t="shared" si="5"/>
        <v>0</v>
      </c>
      <c r="I27" s="846">
        <f t="shared" si="5"/>
        <v>0</v>
      </c>
      <c r="J27" s="693"/>
    </row>
    <row r="28" spans="1:10" x14ac:dyDescent="0.2">
      <c r="A28" s="388" t="s">
        <v>575</v>
      </c>
      <c r="B28" s="853"/>
      <c r="C28" s="854" t="str">
        <f t="shared" si="0"/>
        <v/>
      </c>
      <c r="D28" s="853"/>
      <c r="E28" s="853"/>
      <c r="F28" s="854" t="str">
        <f t="shared" si="1"/>
        <v/>
      </c>
      <c r="G28" s="853"/>
      <c r="H28" s="853" t="str">
        <f>IF(E28-B28=0, "", E28-B28)</f>
        <v/>
      </c>
      <c r="I28" s="853" t="str">
        <f>IF(G28-D28=0, "", G28-D28)</f>
        <v/>
      </c>
      <c r="J28" s="847"/>
    </row>
    <row r="29" spans="1:10" x14ac:dyDescent="0.2">
      <c r="A29" s="388" t="s">
        <v>576</v>
      </c>
      <c r="B29" s="853"/>
      <c r="C29" s="854" t="str">
        <f t="shared" si="0"/>
        <v/>
      </c>
      <c r="D29" s="853"/>
      <c r="E29" s="853"/>
      <c r="F29" s="854" t="str">
        <f t="shared" si="1"/>
        <v/>
      </c>
      <c r="G29" s="853"/>
      <c r="H29" s="853" t="str">
        <f>IF(E29-B29=0, "", E29-B29)</f>
        <v/>
      </c>
      <c r="I29" s="853" t="str">
        <f>IF(G29-D29=0, "", G29-D29)</f>
        <v/>
      </c>
      <c r="J29" s="847"/>
    </row>
    <row r="30" spans="1:10" s="857" customFormat="1" x14ac:dyDescent="0.2">
      <c r="A30" s="855" t="s">
        <v>577</v>
      </c>
      <c r="B30" s="846">
        <f>SUM(B28:B29)</f>
        <v>0</v>
      </c>
      <c r="C30" s="856" t="str">
        <f t="shared" si="0"/>
        <v/>
      </c>
      <c r="D30" s="846">
        <f>SUM(D28:D29)</f>
        <v>0</v>
      </c>
      <c r="E30" s="846">
        <f>SUM(E28:E29)</f>
        <v>0</v>
      </c>
      <c r="F30" s="856" t="str">
        <f t="shared" si="1"/>
        <v/>
      </c>
      <c r="G30" s="846">
        <f>SUM(G28:G29)</f>
        <v>0</v>
      </c>
      <c r="H30" s="846">
        <f>SUM(H28:H29)</f>
        <v>0</v>
      </c>
      <c r="I30" s="846">
        <f>SUM(I28:I29)</f>
        <v>0</v>
      </c>
      <c r="J30" s="693"/>
    </row>
    <row r="31" spans="1:10" x14ac:dyDescent="0.2">
      <c r="A31" s="388" t="s">
        <v>578</v>
      </c>
      <c r="B31" s="853"/>
      <c r="C31" s="854" t="str">
        <f t="shared" si="0"/>
        <v/>
      </c>
      <c r="D31" s="853"/>
      <c r="E31" s="853"/>
      <c r="F31" s="854" t="str">
        <f t="shared" si="1"/>
        <v/>
      </c>
      <c r="G31" s="853"/>
      <c r="H31" s="853">
        <f>E31-B31</f>
        <v>0</v>
      </c>
      <c r="I31" s="853">
        <f>G31-D31</f>
        <v>0</v>
      </c>
      <c r="J31" s="847"/>
    </row>
    <row r="32" spans="1:10" s="857" customFormat="1" x14ac:dyDescent="0.2">
      <c r="A32" s="855" t="s">
        <v>579</v>
      </c>
      <c r="B32" s="846">
        <f>B24+B27+B30+B31</f>
        <v>0</v>
      </c>
      <c r="C32" s="856" t="str">
        <f t="shared" si="0"/>
        <v/>
      </c>
      <c r="D32" s="846">
        <f t="shared" ref="D32:I32" si="6">D24+D27+D30+D31</f>
        <v>0</v>
      </c>
      <c r="E32" s="846">
        <f t="shared" si="6"/>
        <v>0</v>
      </c>
      <c r="F32" s="856" t="str">
        <f t="shared" si="1"/>
        <v/>
      </c>
      <c r="G32" s="846">
        <f t="shared" si="6"/>
        <v>0</v>
      </c>
      <c r="H32" s="846">
        <f t="shared" si="6"/>
        <v>0</v>
      </c>
      <c r="I32" s="846">
        <f t="shared" si="6"/>
        <v>0</v>
      </c>
      <c r="J32" s="693"/>
    </row>
    <row r="33" spans="1:10" s="857" customFormat="1" x14ac:dyDescent="0.2">
      <c r="A33" s="859" t="s">
        <v>787</v>
      </c>
      <c r="B33" s="846">
        <f>B21+B32</f>
        <v>0</v>
      </c>
      <c r="C33" s="856" t="str">
        <f t="shared" si="0"/>
        <v/>
      </c>
      <c r="D33" s="846">
        <f t="shared" ref="D33:I33" si="7">D21+D32</f>
        <v>0</v>
      </c>
      <c r="E33" s="846">
        <f t="shared" si="7"/>
        <v>0</v>
      </c>
      <c r="F33" s="856" t="str">
        <f t="shared" si="1"/>
        <v/>
      </c>
      <c r="G33" s="846">
        <f t="shared" si="7"/>
        <v>0</v>
      </c>
      <c r="H33" s="846">
        <f t="shared" si="7"/>
        <v>0</v>
      </c>
      <c r="I33" s="846">
        <f t="shared" si="7"/>
        <v>0</v>
      </c>
      <c r="J33" s="693"/>
    </row>
    <row r="34" spans="1:10" x14ac:dyDescent="0.2">
      <c r="A34" s="388" t="s">
        <v>580</v>
      </c>
      <c r="B34" s="853"/>
      <c r="C34" s="854" t="str">
        <f t="shared" si="0"/>
        <v/>
      </c>
      <c r="D34" s="853"/>
      <c r="E34" s="853"/>
      <c r="F34" s="854" t="str">
        <f t="shared" si="1"/>
        <v/>
      </c>
      <c r="G34" s="853"/>
      <c r="H34" s="853">
        <f>E34-B34</f>
        <v>0</v>
      </c>
      <c r="I34" s="853">
        <f>G34-D34</f>
        <v>0</v>
      </c>
      <c r="J34" s="847"/>
    </row>
    <row r="35" spans="1:10" x14ac:dyDescent="0.2">
      <c r="A35" s="388" t="s">
        <v>581</v>
      </c>
      <c r="B35" s="853"/>
      <c r="C35" s="854" t="str">
        <f t="shared" si="0"/>
        <v/>
      </c>
      <c r="D35" s="853"/>
      <c r="E35" s="853"/>
      <c r="F35" s="854" t="str">
        <f t="shared" si="1"/>
        <v/>
      </c>
      <c r="G35" s="853"/>
      <c r="H35" s="853">
        <f>E35-B35</f>
        <v>0</v>
      </c>
      <c r="I35" s="853">
        <f>G35-D35</f>
        <v>0</v>
      </c>
      <c r="J35" s="847"/>
    </row>
    <row r="36" spans="1:10" s="857" customFormat="1" x14ac:dyDescent="0.2">
      <c r="A36" s="855" t="s">
        <v>582</v>
      </c>
      <c r="B36" s="846">
        <f>B33+B34+B35</f>
        <v>0</v>
      </c>
      <c r="C36" s="856" t="str">
        <f t="shared" si="0"/>
        <v/>
      </c>
      <c r="D36" s="846">
        <f t="shared" ref="D36:I36" si="8">D33+D34+D35</f>
        <v>0</v>
      </c>
      <c r="E36" s="846">
        <f t="shared" si="8"/>
        <v>0</v>
      </c>
      <c r="F36" s="856" t="str">
        <f t="shared" si="1"/>
        <v/>
      </c>
      <c r="G36" s="846">
        <f t="shared" si="8"/>
        <v>0</v>
      </c>
      <c r="H36" s="846">
        <f t="shared" si="8"/>
        <v>0</v>
      </c>
      <c r="I36" s="846">
        <f t="shared" si="8"/>
        <v>0</v>
      </c>
      <c r="J36" s="693"/>
    </row>
    <row r="37" spans="1:10" ht="26.25" customHeight="1" x14ac:dyDescent="0.2">
      <c r="A37" s="860"/>
      <c r="B37" s="861"/>
      <c r="C37" s="862"/>
      <c r="D37" s="861"/>
      <c r="E37" s="861"/>
      <c r="F37" s="863"/>
      <c r="G37" s="861"/>
      <c r="H37" s="861"/>
      <c r="I37" s="861"/>
      <c r="J37" s="864"/>
    </row>
  </sheetData>
  <protectedRanges>
    <protectedRange sqref="G34:G35" name="Range22"/>
    <protectedRange sqref="G31" name="Range21"/>
    <protectedRange sqref="G28:G29" name="Range20"/>
    <protectedRange sqref="G25:G26" name="Range19"/>
    <protectedRange sqref="G22:G23" name="Range18"/>
    <protectedRange sqref="G16:G20" name="Range17"/>
    <protectedRange sqref="G4:G10 G12:G14" name="Range16"/>
    <protectedRange sqref="D34:E35" name="Range15"/>
    <protectedRange sqref="D31:E31" name="Range14"/>
    <protectedRange sqref="D28:E29" name="Range13"/>
    <protectedRange sqref="D25:E26" name="Range12"/>
    <protectedRange sqref="D25:E26" name="Range11"/>
    <protectedRange sqref="D22:E23" name="Range10"/>
    <protectedRange sqref="D16:E20" name="Range9"/>
    <protectedRange sqref="D4:E10 D12:E14" name="Range8"/>
    <protectedRange sqref="A34:B35" name="Range7"/>
    <protectedRange sqref="A31:B31" name="Range6"/>
    <protectedRange sqref="A28:B29" name="Range5"/>
    <protectedRange sqref="A25:B26" name="Range4"/>
    <protectedRange sqref="A22:B23" name="Range3"/>
    <protectedRange sqref="A16:B20" name="Range2"/>
    <protectedRange sqref="A4:B10 A12:B14" name="Range1"/>
  </protectedRanges>
  <mergeCells count="4">
    <mergeCell ref="B2:D2"/>
    <mergeCell ref="E2:G2"/>
    <mergeCell ref="H2:I2"/>
    <mergeCell ref="A2:A3"/>
  </mergeCells>
  <phoneticPr fontId="0" type="noConversion"/>
  <pageMargins left="0.45" right="0.2" top="0.5" bottom="0.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F51"/>
  <sheetViews>
    <sheetView topLeftCell="A37" workbookViewId="0">
      <selection activeCell="D2" sqref="D2"/>
    </sheetView>
  </sheetViews>
  <sheetFormatPr defaultRowHeight="20.100000000000001" customHeight="1" x14ac:dyDescent="0.2"/>
  <cols>
    <col min="1" max="1" width="4.140625" style="385" customWidth="1"/>
    <col min="2" max="2" width="60.42578125" style="367" customWidth="1"/>
    <col min="3" max="4" width="9.28515625" style="213" customWidth="1"/>
    <col min="5" max="5" width="9.140625" style="386"/>
    <col min="6" max="6" width="55.140625" style="377" customWidth="1"/>
    <col min="7" max="16384" width="9.140625" style="377"/>
  </cols>
  <sheetData>
    <row r="1" spans="1:6" ht="15" customHeight="1" x14ac:dyDescent="0.25">
      <c r="A1" s="376"/>
      <c r="B1" s="371" t="s">
        <v>962</v>
      </c>
      <c r="C1" s="879" t="s">
        <v>535</v>
      </c>
      <c r="D1" s="879" t="s">
        <v>964</v>
      </c>
      <c r="E1" s="880" t="s">
        <v>965</v>
      </c>
      <c r="F1" s="675"/>
    </row>
    <row r="2" spans="1:6" ht="15" customHeight="1" x14ac:dyDescent="0.25">
      <c r="A2" s="372" t="s">
        <v>24</v>
      </c>
      <c r="B2" s="368" t="s">
        <v>565</v>
      </c>
      <c r="C2" s="942"/>
      <c r="D2" s="942"/>
      <c r="E2" s="942"/>
      <c r="F2" s="676"/>
    </row>
    <row r="3" spans="1:6" s="809" customFormat="1" ht="15" customHeight="1" x14ac:dyDescent="0.2">
      <c r="A3" s="810">
        <v>1</v>
      </c>
      <c r="B3" s="807" t="s">
        <v>966</v>
      </c>
      <c r="C3" s="882"/>
      <c r="D3" s="882"/>
      <c r="E3" s="882"/>
      <c r="F3" s="808"/>
    </row>
    <row r="4" spans="1:6" ht="15" customHeight="1" x14ac:dyDescent="0.2">
      <c r="A4" s="378">
        <v>2</v>
      </c>
      <c r="B4" s="369" t="s">
        <v>967</v>
      </c>
      <c r="C4" s="387" t="str">
        <f>IF(C3/12=0,"",C3/12)</f>
        <v/>
      </c>
      <c r="D4" s="387" t="str">
        <f>IF(D3/12=0,"",D3/12)</f>
        <v/>
      </c>
      <c r="E4" s="387" t="str">
        <f>IF(E3/12=0,"",E3/12)</f>
        <v/>
      </c>
      <c r="F4" s="676"/>
    </row>
    <row r="5" spans="1:6" ht="15" customHeight="1" x14ac:dyDescent="0.2">
      <c r="A5" s="378">
        <v>3</v>
      </c>
      <c r="B5" s="369" t="s">
        <v>977</v>
      </c>
      <c r="C5" s="882"/>
      <c r="D5" s="882"/>
      <c r="E5" s="882"/>
      <c r="F5" s="676"/>
    </row>
    <row r="6" spans="1:6" ht="15" customHeight="1" x14ac:dyDescent="0.2">
      <c r="A6" s="378">
        <v>4</v>
      </c>
      <c r="B6" s="369" t="s">
        <v>976</v>
      </c>
      <c r="C6" s="882"/>
      <c r="D6" s="882"/>
      <c r="E6" s="882"/>
      <c r="F6" s="676"/>
    </row>
    <row r="7" spans="1:6" ht="15" customHeight="1" x14ac:dyDescent="0.2">
      <c r="A7" s="378">
        <v>5</v>
      </c>
      <c r="B7" s="369" t="s">
        <v>972</v>
      </c>
      <c r="C7" s="387" t="str">
        <f>IF(ISERROR(C4*(C5+C6)),"",IF(C4*(C5+C6)=0,"",C4*(C5+C6)))</f>
        <v/>
      </c>
      <c r="D7" s="387" t="str">
        <f>IF(ISERROR(D4*(D5+D6)),"",IF(D4*(D5+D6)=0,"",D4*(D5+D6)))</f>
        <v/>
      </c>
      <c r="E7" s="387" t="str">
        <f>IF(ISERROR(E4*(E5+E6)),"",IF(E4*(E5+E6)=0,"",E4*(E5+E6)))</f>
        <v/>
      </c>
      <c r="F7" s="676"/>
    </row>
    <row r="8" spans="1:6" ht="15" customHeight="1" x14ac:dyDescent="0.2">
      <c r="A8" s="378"/>
      <c r="B8" s="369" t="s">
        <v>969</v>
      </c>
      <c r="C8" s="882"/>
      <c r="D8" s="882"/>
      <c r="E8" s="882"/>
      <c r="F8" s="676"/>
    </row>
    <row r="9" spans="1:6" ht="15" customHeight="1" x14ac:dyDescent="0.2">
      <c r="A9" s="378"/>
      <c r="B9" s="369" t="s">
        <v>970</v>
      </c>
      <c r="C9" s="387" t="str">
        <f>IF(ISERROR(C7-C8),"",IF(C7-C8=0,"",C7-C8))</f>
        <v/>
      </c>
      <c r="D9" s="387" t="str">
        <f>IF(ISERROR(D7-D8),"",IF(D7-D8=0,"",D7-D8))</f>
        <v/>
      </c>
      <c r="E9" s="387" t="str">
        <f>IF(ISERROR(E7-E8),"",IF(E7-E8=0,"",E7-E8))</f>
        <v/>
      </c>
      <c r="F9" s="676"/>
    </row>
    <row r="10" spans="1:6" s="374" customFormat="1" ht="15" customHeight="1" x14ac:dyDescent="0.25">
      <c r="A10" s="372">
        <v>6</v>
      </c>
      <c r="B10" s="368" t="s">
        <v>968</v>
      </c>
      <c r="C10" s="883"/>
      <c r="D10" s="883"/>
      <c r="E10" s="883"/>
      <c r="F10" s="677"/>
    </row>
    <row r="11" spans="1:6" s="374" customFormat="1" ht="15" customHeight="1" x14ac:dyDescent="0.25">
      <c r="A11" s="372" t="s">
        <v>29</v>
      </c>
      <c r="B11" s="368" t="s">
        <v>566</v>
      </c>
      <c r="C11" s="811"/>
      <c r="D11" s="811"/>
      <c r="E11" s="811"/>
      <c r="F11" s="677"/>
    </row>
    <row r="12" spans="1:6" s="374" customFormat="1" ht="15" customHeight="1" x14ac:dyDescent="0.25">
      <c r="A12" s="378">
        <v>1</v>
      </c>
      <c r="B12" s="369" t="s">
        <v>971</v>
      </c>
      <c r="C12" s="882"/>
      <c r="D12" s="882"/>
      <c r="E12" s="882"/>
      <c r="F12" s="677"/>
    </row>
    <row r="13" spans="1:6" s="374" customFormat="1" ht="15" customHeight="1" x14ac:dyDescent="0.25">
      <c r="A13" s="378">
        <v>2</v>
      </c>
      <c r="B13" s="369" t="s">
        <v>978</v>
      </c>
      <c r="C13" s="387" t="str">
        <f>IF(ISERROR(C12*C4),"",IF(C12*C4=0,"",C12*C4))</f>
        <v/>
      </c>
      <c r="D13" s="387" t="str">
        <f>IF(ISERROR(D12*D4),"",IF(D12*D4=0,"",D12*D4))</f>
        <v/>
      </c>
      <c r="E13" s="387" t="str">
        <f>IF(ISERROR(E12*E4),"",IF(E12*E4=0,"",E12*E4))</f>
        <v/>
      </c>
      <c r="F13" s="677"/>
    </row>
    <row r="14" spans="1:6" s="374" customFormat="1" ht="15" customHeight="1" x14ac:dyDescent="0.25">
      <c r="A14" s="372">
        <v>3</v>
      </c>
      <c r="B14" s="368" t="s">
        <v>975</v>
      </c>
      <c r="C14" s="883"/>
      <c r="D14" s="883"/>
      <c r="E14" s="883"/>
      <c r="F14" s="677"/>
    </row>
    <row r="15" spans="1:6" ht="15" customHeight="1" x14ac:dyDescent="0.2">
      <c r="A15" s="378" t="s">
        <v>373</v>
      </c>
      <c r="B15" s="369" t="s">
        <v>973</v>
      </c>
      <c r="C15" s="387" t="str">
        <f>IF(ISERROR(C9+C13),"",IF(C9+C13=0,"",C9+C13))</f>
        <v/>
      </c>
      <c r="D15" s="387" t="str">
        <f>IF(ISERROR(D9+D13),"",IF(D9+D13=0,"",D9+D13))</f>
        <v/>
      </c>
      <c r="E15" s="387" t="str">
        <f>IF(ISERROR(E9+E13),"",IF(E9+E13=0,"",E9+E13))</f>
        <v/>
      </c>
      <c r="F15" s="676"/>
    </row>
    <row r="16" spans="1:6" s="374" customFormat="1" ht="15" customHeight="1" x14ac:dyDescent="0.25">
      <c r="A16" s="372" t="s">
        <v>4</v>
      </c>
      <c r="B16" s="368" t="s">
        <v>974</v>
      </c>
      <c r="C16" s="811" t="str">
        <f>IF(C10+C14=0,"",C10+C14)</f>
        <v/>
      </c>
      <c r="D16" s="811" t="str">
        <f>IF(D10+D14=0,"",D10+D14)</f>
        <v/>
      </c>
      <c r="E16" s="811" t="str">
        <f>IF(E10+E14=0,"",E10+E14)</f>
        <v/>
      </c>
      <c r="F16" s="677"/>
    </row>
    <row r="17" spans="1:6" ht="20.100000000000001" customHeight="1" x14ac:dyDescent="0.2">
      <c r="F17" s="676"/>
    </row>
    <row r="18" spans="1:6" ht="15" customHeight="1" x14ac:dyDescent="0.25">
      <c r="A18" s="376"/>
      <c r="B18" s="371" t="s">
        <v>961</v>
      </c>
      <c r="C18" s="879" t="s">
        <v>873</v>
      </c>
      <c r="D18" s="879" t="s">
        <v>874</v>
      </c>
      <c r="E18" s="880" t="s">
        <v>624</v>
      </c>
      <c r="F18" s="676"/>
    </row>
    <row r="19" spans="1:6" ht="15" customHeight="1" x14ac:dyDescent="0.2">
      <c r="A19" s="378">
        <v>1</v>
      </c>
      <c r="B19" s="369" t="s">
        <v>872</v>
      </c>
      <c r="C19" s="882"/>
      <c r="D19" s="882"/>
      <c r="E19" s="882"/>
      <c r="F19" s="676"/>
    </row>
    <row r="20" spans="1:6" ht="15" customHeight="1" x14ac:dyDescent="0.2">
      <c r="A20" s="378">
        <v>2</v>
      </c>
      <c r="B20" s="369" t="s">
        <v>868</v>
      </c>
      <c r="C20" s="884"/>
      <c r="D20" s="884"/>
      <c r="E20" s="884"/>
      <c r="F20" s="676"/>
    </row>
    <row r="21" spans="1:6" ht="15" customHeight="1" x14ac:dyDescent="0.2">
      <c r="A21" s="378">
        <v>3</v>
      </c>
      <c r="B21" s="369" t="s">
        <v>876</v>
      </c>
      <c r="C21" s="387" t="str">
        <f>IF(ISERROR(C19*C20/12),"",IF(C19*C20/12=0,"",C19*C20/12))</f>
        <v/>
      </c>
      <c r="D21" s="387" t="str">
        <f>IF(ISERROR(D19*D20/12),"",IF(D19*D20/12=0,"",D19*D20/12))</f>
        <v/>
      </c>
      <c r="E21" s="387" t="str">
        <f>IF(ISERROR(E19*E20/12),"",IF(E19*E20/12=0,"",E19*E20/12))</f>
        <v/>
      </c>
      <c r="F21" s="676"/>
    </row>
    <row r="22" spans="1:6" ht="15" customHeight="1" x14ac:dyDescent="0.2">
      <c r="A22" s="378">
        <v>4</v>
      </c>
      <c r="B22" s="369" t="s">
        <v>877</v>
      </c>
      <c r="C22" s="882"/>
      <c r="D22" s="882"/>
      <c r="E22" s="882"/>
      <c r="F22" s="676"/>
    </row>
    <row r="23" spans="1:6" ht="15" customHeight="1" x14ac:dyDescent="0.2">
      <c r="A23" s="378">
        <v>5</v>
      </c>
      <c r="B23" s="369" t="s">
        <v>878</v>
      </c>
      <c r="C23" s="882"/>
      <c r="D23" s="882"/>
      <c r="E23" s="882"/>
      <c r="F23" s="676"/>
    </row>
    <row r="24" spans="1:6" ht="15" customHeight="1" x14ac:dyDescent="0.2">
      <c r="A24" s="378">
        <v>6</v>
      </c>
      <c r="B24" s="369" t="s">
        <v>869</v>
      </c>
      <c r="C24" s="387" t="str">
        <f>IF(SUM(C22:C23)=0,"",SUM(C22:C23))</f>
        <v/>
      </c>
      <c r="D24" s="387" t="str">
        <f>IF(SUM(D22:D23)=0,"",SUM(D22:D23))</f>
        <v/>
      </c>
      <c r="E24" s="387" t="str">
        <f>IF(SUM(E22:E23)=0,"",SUM(E22:E23))</f>
        <v/>
      </c>
      <c r="F24" s="676"/>
    </row>
    <row r="25" spans="1:6" ht="15" customHeight="1" x14ac:dyDescent="0.2">
      <c r="A25" s="378">
        <v>7</v>
      </c>
      <c r="B25" s="369" t="s">
        <v>870</v>
      </c>
      <c r="C25" s="387" t="str">
        <f>IF(ISERROR(C21*C24),"",IF(C21*C24=0,"",C21*C24))</f>
        <v/>
      </c>
      <c r="D25" s="387" t="str">
        <f>IF(ISERROR(D21*D24),"",IF(D21*D24=0,"",D21*D24))</f>
        <v/>
      </c>
      <c r="E25" s="387" t="str">
        <f>IF(ISERROR(E21*E24),"",IF(E21*E24=0,"",E21*E24))</f>
        <v/>
      </c>
      <c r="F25" s="676"/>
    </row>
    <row r="26" spans="1:6" s="374" customFormat="1" ht="15" customHeight="1" x14ac:dyDescent="0.25">
      <c r="A26" s="372">
        <v>8</v>
      </c>
      <c r="B26" s="368" t="s">
        <v>871</v>
      </c>
      <c r="C26" s="883"/>
      <c r="D26" s="883"/>
      <c r="E26" s="883"/>
      <c r="F26" s="677"/>
    </row>
    <row r="27" spans="1:6" ht="15" customHeight="1" x14ac:dyDescent="0.2">
      <c r="A27" s="824"/>
      <c r="B27" s="825" t="s">
        <v>880</v>
      </c>
      <c r="C27" s="826"/>
      <c r="D27" s="826"/>
      <c r="E27" s="827"/>
      <c r="F27" s="830"/>
    </row>
    <row r="28" spans="1:6" ht="15" customHeight="1" x14ac:dyDescent="0.2">
      <c r="A28" s="803"/>
      <c r="B28" s="804"/>
      <c r="C28" s="805"/>
      <c r="D28" s="805"/>
      <c r="E28" s="806"/>
      <c r="F28" s="676"/>
    </row>
    <row r="29" spans="1:6" s="374" customFormat="1" ht="16.5" customHeight="1" x14ac:dyDescent="0.25">
      <c r="A29" s="379"/>
      <c r="B29" s="1142" t="s">
        <v>963</v>
      </c>
      <c r="C29" s="1143"/>
      <c r="D29" s="1143"/>
      <c r="E29" s="1144"/>
      <c r="F29" s="832"/>
    </row>
    <row r="30" spans="1:6" ht="26.25" customHeight="1" x14ac:dyDescent="0.2">
      <c r="A30" s="380"/>
      <c r="B30" s="1145" t="s">
        <v>794</v>
      </c>
      <c r="C30" s="1146"/>
      <c r="D30" s="1146"/>
      <c r="E30" s="1147"/>
      <c r="F30" s="676"/>
    </row>
    <row r="31" spans="1:6" s="374" customFormat="1" ht="16.5" customHeight="1" x14ac:dyDescent="0.25">
      <c r="A31" s="381" t="s">
        <v>520</v>
      </c>
      <c r="B31" s="1148" t="s">
        <v>795</v>
      </c>
      <c r="C31" s="1115"/>
      <c r="D31" s="218" t="s">
        <v>810</v>
      </c>
      <c r="E31" s="373" t="s">
        <v>796</v>
      </c>
      <c r="F31" s="677"/>
    </row>
    <row r="32" spans="1:6" ht="17.25" customHeight="1" x14ac:dyDescent="0.2">
      <c r="A32" s="378">
        <v>1</v>
      </c>
      <c r="B32" s="1149" t="s">
        <v>875</v>
      </c>
      <c r="C32" s="1147"/>
      <c r="D32" s="214"/>
      <c r="E32" s="382">
        <v>0</v>
      </c>
      <c r="F32" s="676"/>
    </row>
    <row r="33" spans="1:6" ht="29.25" customHeight="1" x14ac:dyDescent="0.2">
      <c r="A33" s="378">
        <v>2</v>
      </c>
      <c r="B33" s="1136" t="s">
        <v>797</v>
      </c>
      <c r="C33" s="1137"/>
      <c r="D33" s="215">
        <v>0</v>
      </c>
      <c r="E33" s="370">
        <f>E32*D33</f>
        <v>0</v>
      </c>
      <c r="F33" s="676"/>
    </row>
    <row r="34" spans="1:6" ht="56.25" customHeight="1" x14ac:dyDescent="0.2">
      <c r="A34" s="1153">
        <v>3</v>
      </c>
      <c r="B34" s="1138" t="s">
        <v>798</v>
      </c>
      <c r="C34" s="1139"/>
      <c r="D34" s="216">
        <v>0</v>
      </c>
      <c r="E34" s="1155">
        <f>E32*D34*D35/12</f>
        <v>0</v>
      </c>
      <c r="F34" s="676"/>
    </row>
    <row r="35" spans="1:6" ht="15" customHeight="1" x14ac:dyDescent="0.2">
      <c r="A35" s="1154"/>
      <c r="B35" s="1140" t="s">
        <v>799</v>
      </c>
      <c r="C35" s="1141"/>
      <c r="D35" s="217">
        <v>0</v>
      </c>
      <c r="E35" s="1155"/>
      <c r="F35" s="676"/>
    </row>
    <row r="36" spans="1:6" ht="42" customHeight="1" x14ac:dyDescent="0.2">
      <c r="A36" s="1153">
        <v>4</v>
      </c>
      <c r="B36" s="1138" t="s">
        <v>800</v>
      </c>
      <c r="C36" s="1139"/>
      <c r="D36" s="216">
        <v>0</v>
      </c>
      <c r="E36" s="1155">
        <f>E33*D36*D37/12</f>
        <v>0</v>
      </c>
      <c r="F36" s="676"/>
    </row>
    <row r="37" spans="1:6" ht="13.5" customHeight="1" x14ac:dyDescent="0.2">
      <c r="A37" s="1154"/>
      <c r="B37" s="1140" t="s">
        <v>801</v>
      </c>
      <c r="C37" s="1141"/>
      <c r="D37" s="217">
        <v>0</v>
      </c>
      <c r="E37" s="1155"/>
      <c r="F37" s="676"/>
    </row>
    <row r="38" spans="1:6" ht="42.75" customHeight="1" x14ac:dyDescent="0.2">
      <c r="A38" s="1153">
        <v>5</v>
      </c>
      <c r="B38" s="1138" t="s">
        <v>802</v>
      </c>
      <c r="C38" s="1139"/>
      <c r="D38" s="216">
        <v>0</v>
      </c>
      <c r="E38" s="1155">
        <f>E33*D38*D39/12</f>
        <v>0</v>
      </c>
      <c r="F38" s="676"/>
    </row>
    <row r="39" spans="1:6" ht="13.5" customHeight="1" x14ac:dyDescent="0.2">
      <c r="A39" s="1154"/>
      <c r="B39" s="1140" t="s">
        <v>801</v>
      </c>
      <c r="C39" s="1141"/>
      <c r="D39" s="217">
        <v>0</v>
      </c>
      <c r="E39" s="1156"/>
      <c r="F39" s="676"/>
    </row>
    <row r="40" spans="1:6" ht="41.25" customHeight="1" x14ac:dyDescent="0.2">
      <c r="A40" s="1153">
        <v>6</v>
      </c>
      <c r="B40" s="1138" t="s">
        <v>803</v>
      </c>
      <c r="C40" s="1139"/>
      <c r="D40" s="216">
        <v>0</v>
      </c>
      <c r="E40" s="1155">
        <f>E33*D40*D41/12</f>
        <v>0</v>
      </c>
      <c r="F40" s="676"/>
    </row>
    <row r="41" spans="1:6" ht="15" customHeight="1" x14ac:dyDescent="0.2">
      <c r="A41" s="1154"/>
      <c r="B41" s="1140" t="s">
        <v>801</v>
      </c>
      <c r="C41" s="1141"/>
      <c r="D41" s="217">
        <v>0</v>
      </c>
      <c r="E41" s="1156"/>
      <c r="F41" s="676"/>
    </row>
    <row r="42" spans="1:6" ht="15" customHeight="1" x14ac:dyDescent="0.25">
      <c r="A42" s="378">
        <v>7</v>
      </c>
      <c r="B42" s="1152" t="s">
        <v>804</v>
      </c>
      <c r="C42" s="1137"/>
      <c r="D42" s="375"/>
      <c r="E42" s="382">
        <v>0</v>
      </c>
      <c r="F42" s="676"/>
    </row>
    <row r="43" spans="1:6" ht="15" customHeight="1" x14ac:dyDescent="0.2">
      <c r="A43" s="378">
        <v>8</v>
      </c>
      <c r="B43" s="1136" t="s">
        <v>805</v>
      </c>
      <c r="C43" s="1137"/>
      <c r="D43" s="375"/>
      <c r="E43" s="370">
        <f>SUM(E34:E42)</f>
        <v>0</v>
      </c>
      <c r="F43" s="676"/>
    </row>
    <row r="44" spans="1:6" ht="15" customHeight="1" x14ac:dyDescent="0.25">
      <c r="A44" s="378">
        <v>9</v>
      </c>
      <c r="B44" s="1136" t="s">
        <v>812</v>
      </c>
      <c r="C44" s="1137"/>
      <c r="D44" s="375"/>
      <c r="E44" s="382">
        <v>0</v>
      </c>
      <c r="F44" s="676"/>
    </row>
    <row r="45" spans="1:6" s="374" customFormat="1" ht="15" customHeight="1" x14ac:dyDescent="0.25">
      <c r="A45" s="372"/>
      <c r="B45" s="1152" t="s">
        <v>806</v>
      </c>
      <c r="C45" s="1137"/>
      <c r="D45" s="375"/>
      <c r="E45" s="373">
        <f>SUM(E43:E44)</f>
        <v>0</v>
      </c>
      <c r="F45" s="677"/>
    </row>
    <row r="46" spans="1:6" ht="27.75" customHeight="1" x14ac:dyDescent="0.2">
      <c r="A46" s="378">
        <v>10</v>
      </c>
      <c r="B46" s="1136" t="s">
        <v>813</v>
      </c>
      <c r="C46" s="1137"/>
      <c r="D46" s="375"/>
      <c r="E46" s="382">
        <v>0</v>
      </c>
      <c r="F46" s="676"/>
    </row>
    <row r="47" spans="1:6" s="374" customFormat="1" ht="15" customHeight="1" x14ac:dyDescent="0.25">
      <c r="A47" s="372"/>
      <c r="B47" s="1152" t="s">
        <v>807</v>
      </c>
      <c r="C47" s="1137"/>
      <c r="D47" s="375"/>
      <c r="E47" s="373">
        <f>E45-E46</f>
        <v>0</v>
      </c>
      <c r="F47" s="677"/>
    </row>
    <row r="48" spans="1:6" ht="15" customHeight="1" x14ac:dyDescent="0.2">
      <c r="A48" s="378"/>
      <c r="B48" s="1136" t="s">
        <v>811</v>
      </c>
      <c r="C48" s="1137"/>
      <c r="D48" s="375"/>
      <c r="E48" s="382">
        <v>0</v>
      </c>
      <c r="F48" s="676"/>
    </row>
    <row r="49" spans="1:6" s="374" customFormat="1" ht="15" customHeight="1" x14ac:dyDescent="0.25">
      <c r="A49" s="372"/>
      <c r="B49" s="1136" t="s">
        <v>808</v>
      </c>
      <c r="C49" s="1137"/>
      <c r="D49" s="375"/>
      <c r="E49" s="370">
        <f>E47-E48</f>
        <v>0</v>
      </c>
      <c r="F49" s="677"/>
    </row>
    <row r="50" spans="1:6" ht="15" customHeight="1" x14ac:dyDescent="0.25">
      <c r="A50" s="378"/>
      <c r="B50" s="1150" t="s">
        <v>809</v>
      </c>
      <c r="C50" s="1151"/>
      <c r="D50" s="383"/>
      <c r="E50" s="384">
        <v>0</v>
      </c>
      <c r="F50" s="676"/>
    </row>
    <row r="51" spans="1:6" ht="36.75" customHeight="1" x14ac:dyDescent="0.2">
      <c r="A51" s="678"/>
      <c r="B51" s="679"/>
      <c r="C51" s="680"/>
      <c r="D51" s="680"/>
      <c r="E51" s="681"/>
      <c r="F51" s="831"/>
    </row>
  </sheetData>
  <protectedRanges>
    <protectedRange sqref="C8:E8" name="Range19"/>
    <protectedRange sqref="C5:E6" name="Range18"/>
    <protectedRange sqref="C3:E3" name="Range17"/>
    <protectedRange sqref="C14:E14" name="Range14"/>
    <protectedRange sqref="C12:E12" name="Range13"/>
    <protectedRange sqref="E50" name="Range7"/>
    <protectedRange sqref="E48" name="Range6"/>
    <protectedRange sqref="E46" name="Range5"/>
    <protectedRange sqref="E44" name="Range4"/>
    <protectedRange sqref="E42" name="Range3"/>
    <protectedRange sqref="C33:D41" name="Range2"/>
    <protectedRange sqref="E32" name="Range1"/>
    <protectedRange sqref="C19:E19" name="Range8"/>
    <protectedRange sqref="C3:E3 C20:E20" name="Range9"/>
    <protectedRange sqref="C5:E6 C22:E23" name="Range10"/>
    <protectedRange sqref="C26:E26" name="Range11"/>
    <protectedRange sqref="C10:E10" name="Range16"/>
  </protectedRanges>
  <mergeCells count="30">
    <mergeCell ref="A40:A41"/>
    <mergeCell ref="A34:A35"/>
    <mergeCell ref="E34:E35"/>
    <mergeCell ref="A36:A37"/>
    <mergeCell ref="E36:E37"/>
    <mergeCell ref="B34:C34"/>
    <mergeCell ref="B35:C35"/>
    <mergeCell ref="A38:A39"/>
    <mergeCell ref="E38:E39"/>
    <mergeCell ref="E40:E41"/>
    <mergeCell ref="B42:C42"/>
    <mergeCell ref="B43:C43"/>
    <mergeCell ref="B38:C38"/>
    <mergeCell ref="B39:C39"/>
    <mergeCell ref="B41:C41"/>
    <mergeCell ref="B40:C40"/>
    <mergeCell ref="B50:C50"/>
    <mergeCell ref="B44:C44"/>
    <mergeCell ref="B45:C45"/>
    <mergeCell ref="B46:C46"/>
    <mergeCell ref="B47:C47"/>
    <mergeCell ref="B49:C49"/>
    <mergeCell ref="B48:C48"/>
    <mergeCell ref="B33:C33"/>
    <mergeCell ref="B36:C36"/>
    <mergeCell ref="B37:C37"/>
    <mergeCell ref="B29:E29"/>
    <mergeCell ref="B30:E30"/>
    <mergeCell ref="B31:C31"/>
    <mergeCell ref="B32:C32"/>
  </mergeCells>
  <phoneticPr fontId="0" type="noConversion"/>
  <conditionalFormatting sqref="C3:E3">
    <cfRule type="cellIs" dxfId="5" priority="5" stopIfTrue="1" operator="greaterThan">
      <formula>0</formula>
    </cfRule>
    <cfRule type="containsText" dxfId="4" priority="6" stopIfTrue="1" operator="containsText" text="  ">
      <formula>NOT(ISERROR(SEARCH("  ",C3)))</formula>
    </cfRule>
  </conditionalFormatting>
  <conditionalFormatting sqref="C3:E14">
    <cfRule type="cellIs" dxfId="3" priority="4" stopIfTrue="1" operator="greaterThan">
      <formula>0</formula>
    </cfRule>
  </conditionalFormatting>
  <conditionalFormatting sqref="D31:E50">
    <cfRule type="cellIs" dxfId="2" priority="2" stopIfTrue="1" operator="greaterThan">
      <formula>0</formula>
    </cfRule>
    <cfRule type="cellIs" dxfId="1" priority="3" stopIfTrue="1" operator="greaterThan">
      <formula>0</formula>
    </cfRule>
  </conditionalFormatting>
  <conditionalFormatting sqref="C19:E26">
    <cfRule type="cellIs" dxfId="0" priority="1" stopIfTrue="1" operator="greaterThan">
      <formula>0</formula>
    </cfRule>
  </conditionalFormatting>
  <pageMargins left="0.7" right="0.7" top="0.75" bottom="0.75" header="0.3" footer="0.3"/>
  <pageSetup orientation="portrait" r:id="rId1"/>
  <rowBreaks count="1" manualBreakCount="1">
    <brk id="50"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E48"/>
  <sheetViews>
    <sheetView workbookViewId="0">
      <selection activeCell="D2" sqref="D2"/>
    </sheetView>
  </sheetViews>
  <sheetFormatPr defaultRowHeight="12.75" x14ac:dyDescent="0.2"/>
  <cols>
    <col min="1" max="1" width="36.85546875" style="148" customWidth="1"/>
    <col min="2" max="4" width="15.7109375" style="140" customWidth="1"/>
    <col min="5" max="5" width="62.140625" style="148" customWidth="1"/>
    <col min="6" max="7" width="12.7109375" style="148" customWidth="1"/>
    <col min="8" max="9" width="10.7109375" style="148" customWidth="1"/>
    <col min="10" max="16384" width="9.140625" style="148"/>
  </cols>
  <sheetData>
    <row r="1" spans="1:5" s="171" customFormat="1" ht="16.5" customHeight="1" x14ac:dyDescent="0.2">
      <c r="A1" s="169" t="s">
        <v>618</v>
      </c>
      <c r="B1" s="170"/>
      <c r="C1" s="170"/>
      <c r="D1" s="170"/>
      <c r="E1" s="840"/>
    </row>
    <row r="2" spans="1:5" s="78" customFormat="1" x14ac:dyDescent="0.2">
      <c r="A2" s="172" t="s">
        <v>958</v>
      </c>
      <c r="B2" s="173"/>
      <c r="C2" s="173"/>
      <c r="D2" s="173"/>
      <c r="E2" s="841"/>
    </row>
    <row r="3" spans="1:5" s="78" customFormat="1" x14ac:dyDescent="0.2">
      <c r="A3" s="174" t="s">
        <v>619</v>
      </c>
      <c r="B3" s="74" t="s">
        <v>620</v>
      </c>
      <c r="C3" s="74" t="s">
        <v>621</v>
      </c>
      <c r="D3" s="74" t="s">
        <v>258</v>
      </c>
      <c r="E3" s="834"/>
    </row>
    <row r="4" spans="1:5" x14ac:dyDescent="0.2">
      <c r="A4" s="175" t="s">
        <v>622</v>
      </c>
      <c r="B4" s="134"/>
      <c r="C4" s="134"/>
      <c r="D4" s="134">
        <f>SUM(B4:C4)</f>
        <v>0</v>
      </c>
      <c r="E4" s="835"/>
    </row>
    <row r="5" spans="1:5" x14ac:dyDescent="0.2">
      <c r="A5" s="175" t="s">
        <v>623</v>
      </c>
      <c r="B5" s="134"/>
      <c r="C5" s="134"/>
      <c r="D5" s="134">
        <f>SUM(B5:C5)</f>
        <v>0</v>
      </c>
      <c r="E5" s="835"/>
    </row>
    <row r="6" spans="1:5" x14ac:dyDescent="0.2">
      <c r="A6" s="147" t="s">
        <v>949</v>
      </c>
      <c r="B6" s="134"/>
      <c r="C6" s="134"/>
      <c r="D6" s="134">
        <f>SUM(B6:C6)</f>
        <v>0</v>
      </c>
      <c r="E6" s="835"/>
    </row>
    <row r="7" spans="1:5" s="75" customFormat="1" x14ac:dyDescent="0.2">
      <c r="A7" s="147" t="s">
        <v>624</v>
      </c>
      <c r="B7" s="73">
        <f>SUM(B4:B6)</f>
        <v>0</v>
      </c>
      <c r="C7" s="73">
        <f>SUM(C4:C6)</f>
        <v>0</v>
      </c>
      <c r="D7" s="73">
        <f>SUM(D4:D6)</f>
        <v>0</v>
      </c>
      <c r="E7" s="836"/>
    </row>
    <row r="8" spans="1:5" s="78" customFormat="1" x14ac:dyDescent="0.2">
      <c r="A8" s="174" t="s">
        <v>950</v>
      </c>
      <c r="B8" s="74">
        <f>(B4+B5+B6)/3</f>
        <v>0</v>
      </c>
      <c r="C8" s="74">
        <f>(C4+C5+C6)/3</f>
        <v>0</v>
      </c>
      <c r="D8" s="1157"/>
      <c r="E8" s="834"/>
    </row>
    <row r="9" spans="1:5" s="78" customFormat="1" x14ac:dyDescent="0.2">
      <c r="A9" s="174" t="s">
        <v>948</v>
      </c>
      <c r="B9" s="74">
        <f>IF(B6&gt;B8,B6,B8)</f>
        <v>0</v>
      </c>
      <c r="C9" s="74">
        <f>IF(C6&gt;C8,C6,C8)</f>
        <v>0</v>
      </c>
      <c r="D9" s="1158"/>
      <c r="E9" s="834"/>
    </row>
    <row r="10" spans="1:5" x14ac:dyDescent="0.2">
      <c r="A10" s="147"/>
      <c r="B10" s="73" t="s">
        <v>626</v>
      </c>
      <c r="C10" s="73" t="s">
        <v>627</v>
      </c>
      <c r="D10" s="1159"/>
      <c r="E10" s="835"/>
    </row>
    <row r="11" spans="1:5" x14ac:dyDescent="0.2">
      <c r="A11" s="147" t="s">
        <v>625</v>
      </c>
      <c r="B11" s="76">
        <f>2%</f>
        <v>0.02</v>
      </c>
      <c r="C11" s="76">
        <v>0.02</v>
      </c>
      <c r="D11" s="1159"/>
      <c r="E11" s="835"/>
    </row>
    <row r="12" spans="1:5" x14ac:dyDescent="0.2">
      <c r="A12" s="147" t="s">
        <v>646</v>
      </c>
      <c r="B12" s="134">
        <f>IF(ISERROR(B8*B11),"",B8*B11)</f>
        <v>0</v>
      </c>
      <c r="C12" s="134">
        <f>IF(ISERROR(C8*C11),"",C8*C11)</f>
        <v>0</v>
      </c>
      <c r="D12" s="1160"/>
      <c r="E12" s="835"/>
    </row>
    <row r="13" spans="1:5" s="78" customFormat="1" x14ac:dyDescent="0.2">
      <c r="A13" s="174" t="s">
        <v>628</v>
      </c>
      <c r="B13" s="74"/>
      <c r="C13" s="74" t="s">
        <v>178</v>
      </c>
      <c r="D13" s="74">
        <f>IF(ISERROR(SUM(B12:C12)),0,SUM(B12:C12))</f>
        <v>0</v>
      </c>
      <c r="E13" s="834"/>
    </row>
    <row r="14" spans="1:5" s="78" customFormat="1" x14ac:dyDescent="0.2">
      <c r="A14" s="172" t="s">
        <v>642</v>
      </c>
      <c r="B14" s="173"/>
      <c r="C14" s="173"/>
      <c r="D14" s="176"/>
      <c r="E14" s="834"/>
    </row>
    <row r="15" spans="1:5" x14ac:dyDescent="0.2">
      <c r="A15" s="177" t="s">
        <v>634</v>
      </c>
      <c r="B15" s="178"/>
      <c r="C15" s="178"/>
      <c r="D15" s="179"/>
      <c r="E15" s="835"/>
    </row>
    <row r="16" spans="1:5" x14ac:dyDescent="0.2">
      <c r="A16" s="147" t="s">
        <v>643</v>
      </c>
      <c r="B16" s="73" t="s">
        <v>630</v>
      </c>
      <c r="C16" s="73" t="s">
        <v>631</v>
      </c>
      <c r="D16" s="73" t="s">
        <v>632</v>
      </c>
      <c r="E16" s="835"/>
    </row>
    <row r="17" spans="1:5" x14ac:dyDescent="0.2">
      <c r="A17" s="180" t="s">
        <v>644</v>
      </c>
      <c r="B17" s="73"/>
      <c r="C17" s="73" t="s">
        <v>593</v>
      </c>
      <c r="D17" s="73" t="s">
        <v>593</v>
      </c>
      <c r="E17" s="835"/>
    </row>
    <row r="18" spans="1:5" x14ac:dyDescent="0.2">
      <c r="A18" s="147" t="s">
        <v>633</v>
      </c>
      <c r="B18" s="136">
        <v>0.02</v>
      </c>
      <c r="C18" s="73" t="s">
        <v>593</v>
      </c>
      <c r="D18" s="73" t="s">
        <v>593</v>
      </c>
      <c r="E18" s="835"/>
    </row>
    <row r="19" spans="1:5" x14ac:dyDescent="0.2">
      <c r="A19" s="147" t="s">
        <v>646</v>
      </c>
      <c r="B19" s="134">
        <f>B17*B18</f>
        <v>0</v>
      </c>
      <c r="C19" s="73" t="s">
        <v>593</v>
      </c>
      <c r="D19" s="73" t="s">
        <v>593</v>
      </c>
      <c r="E19" s="835"/>
    </row>
    <row r="20" spans="1:5" s="78" customFormat="1" x14ac:dyDescent="0.2">
      <c r="A20" s="174" t="s">
        <v>648</v>
      </c>
      <c r="B20" s="74"/>
      <c r="C20" s="74" t="s">
        <v>312</v>
      </c>
      <c r="D20" s="74">
        <f>B19</f>
        <v>0</v>
      </c>
      <c r="E20" s="834"/>
    </row>
    <row r="21" spans="1:5" s="78" customFormat="1" x14ac:dyDescent="0.2">
      <c r="A21" s="799"/>
      <c r="B21" s="800" t="s">
        <v>649</v>
      </c>
      <c r="C21" s="801" t="s">
        <v>650</v>
      </c>
      <c r="D21" s="801">
        <f>IF(D13&gt;D20, D13, D20)</f>
        <v>0</v>
      </c>
      <c r="E21" s="834"/>
    </row>
    <row r="22" spans="1:5" s="78" customFormat="1" x14ac:dyDescent="0.2">
      <c r="A22" s="172" t="s">
        <v>642</v>
      </c>
      <c r="B22" s="173"/>
      <c r="C22" s="173"/>
      <c r="D22" s="181"/>
      <c r="E22" s="834"/>
    </row>
    <row r="23" spans="1:5" x14ac:dyDescent="0.2">
      <c r="A23" s="177" t="s">
        <v>635</v>
      </c>
      <c r="B23" s="178"/>
      <c r="C23" s="178"/>
      <c r="D23" s="179"/>
      <c r="E23" s="835"/>
    </row>
    <row r="24" spans="1:5" x14ac:dyDescent="0.2">
      <c r="A24" s="147" t="s">
        <v>629</v>
      </c>
      <c r="B24" s="73" t="s">
        <v>630</v>
      </c>
      <c r="C24" s="73" t="s">
        <v>631</v>
      </c>
      <c r="D24" s="73" t="s">
        <v>632</v>
      </c>
      <c r="E24" s="835"/>
    </row>
    <row r="25" spans="1:5" x14ac:dyDescent="0.2">
      <c r="A25" s="180" t="s">
        <v>645</v>
      </c>
      <c r="B25" s="73"/>
      <c r="C25" s="73"/>
      <c r="D25" s="73"/>
      <c r="E25" s="835"/>
    </row>
    <row r="26" spans="1:5" x14ac:dyDescent="0.2">
      <c r="A26" s="147" t="s">
        <v>633</v>
      </c>
      <c r="B26" s="136">
        <v>0.02</v>
      </c>
      <c r="C26" s="76">
        <v>0.1</v>
      </c>
      <c r="D26" s="76">
        <v>0.15</v>
      </c>
      <c r="E26" s="835"/>
    </row>
    <row r="27" spans="1:5" x14ac:dyDescent="0.2">
      <c r="A27" s="147" t="s">
        <v>646</v>
      </c>
      <c r="B27" s="134">
        <f>B25*B26</f>
        <v>0</v>
      </c>
      <c r="C27" s="134">
        <f>C25*C26</f>
        <v>0</v>
      </c>
      <c r="D27" s="134">
        <f>D25*D26</f>
        <v>0</v>
      </c>
      <c r="E27" s="835"/>
    </row>
    <row r="28" spans="1:5" s="78" customFormat="1" x14ac:dyDescent="0.2">
      <c r="A28" s="174" t="s">
        <v>648</v>
      </c>
      <c r="B28" s="74"/>
      <c r="C28" s="74" t="s">
        <v>180</v>
      </c>
      <c r="D28" s="74">
        <f>SUM(B27:D27)</f>
        <v>0</v>
      </c>
      <c r="E28" s="834"/>
    </row>
    <row r="29" spans="1:5" s="78" customFormat="1" x14ac:dyDescent="0.2">
      <c r="A29" s="802" t="s">
        <v>636</v>
      </c>
      <c r="B29" s="801"/>
      <c r="C29" s="801" t="s">
        <v>651</v>
      </c>
      <c r="D29" s="801">
        <f>IF(ISERROR(D21+D28),"",D21+D28)</f>
        <v>0</v>
      </c>
      <c r="E29" s="834"/>
    </row>
    <row r="30" spans="1:5" x14ac:dyDescent="0.2">
      <c r="A30" s="172" t="s">
        <v>637</v>
      </c>
      <c r="B30" s="178"/>
      <c r="C30" s="178"/>
      <c r="D30" s="182"/>
      <c r="E30" s="835"/>
    </row>
    <row r="31" spans="1:5" x14ac:dyDescent="0.2">
      <c r="A31" s="147" t="s">
        <v>629</v>
      </c>
      <c r="B31" s="73" t="s">
        <v>630</v>
      </c>
      <c r="C31" s="73" t="s">
        <v>631</v>
      </c>
      <c r="D31" s="73" t="s">
        <v>632</v>
      </c>
      <c r="E31" s="835"/>
    </row>
    <row r="32" spans="1:5" x14ac:dyDescent="0.2">
      <c r="A32" s="180" t="s">
        <v>638</v>
      </c>
      <c r="B32" s="73"/>
      <c r="C32" s="73"/>
      <c r="D32" s="73"/>
      <c r="E32" s="835"/>
    </row>
    <row r="33" spans="1:5" x14ac:dyDescent="0.2">
      <c r="A33" s="180" t="s">
        <v>633</v>
      </c>
      <c r="B33" s="76">
        <v>5.0000000000000001E-3</v>
      </c>
      <c r="C33" s="76">
        <v>0.01</v>
      </c>
      <c r="D33" s="76">
        <v>0.03</v>
      </c>
      <c r="E33" s="835"/>
    </row>
    <row r="34" spans="1:5" x14ac:dyDescent="0.2">
      <c r="A34" s="147" t="s">
        <v>647</v>
      </c>
      <c r="B34" s="134">
        <f>B32*B33</f>
        <v>0</v>
      </c>
      <c r="C34" s="134">
        <f>C32*C33</f>
        <v>0</v>
      </c>
      <c r="D34" s="134">
        <f>D32*D33</f>
        <v>0</v>
      </c>
      <c r="E34" s="835"/>
    </row>
    <row r="35" spans="1:5" s="78" customFormat="1" x14ac:dyDescent="0.2">
      <c r="A35" s="174" t="s">
        <v>639</v>
      </c>
      <c r="B35" s="74"/>
      <c r="C35" s="74"/>
      <c r="D35" s="74">
        <f>SUM(B34:D34)</f>
        <v>0</v>
      </c>
      <c r="E35" s="834"/>
    </row>
    <row r="36" spans="1:5" s="78" customFormat="1" x14ac:dyDescent="0.2">
      <c r="A36" s="174" t="s">
        <v>640</v>
      </c>
      <c r="B36" s="74"/>
      <c r="C36" s="74"/>
      <c r="D36" s="74"/>
      <c r="E36" s="834"/>
    </row>
    <row r="37" spans="1:5" s="78" customFormat="1" x14ac:dyDescent="0.2">
      <c r="A37" s="828" t="s">
        <v>641</v>
      </c>
      <c r="B37" s="829"/>
      <c r="C37" s="829"/>
      <c r="D37" s="829">
        <f>D29+D35+D36</f>
        <v>0</v>
      </c>
      <c r="E37" s="834"/>
    </row>
    <row r="38" spans="1:5" s="171" customFormat="1" ht="15" customHeight="1" x14ac:dyDescent="0.2">
      <c r="A38" s="881" t="s">
        <v>951</v>
      </c>
      <c r="B38" s="170"/>
      <c r="C38" s="170"/>
      <c r="D38" s="170"/>
      <c r="E38" s="840"/>
    </row>
    <row r="39" spans="1:5" s="171" customFormat="1" x14ac:dyDescent="0.2">
      <c r="A39" s="174" t="s">
        <v>955</v>
      </c>
      <c r="B39" s="74" t="s">
        <v>956</v>
      </c>
      <c r="C39" s="74" t="s">
        <v>957</v>
      </c>
      <c r="D39" s="74" t="s">
        <v>624</v>
      </c>
      <c r="E39" s="833"/>
    </row>
    <row r="40" spans="1:5" s="78" customFormat="1" x14ac:dyDescent="0.2">
      <c r="A40" s="174" t="s">
        <v>958</v>
      </c>
      <c r="B40" s="73">
        <f>B12</f>
        <v>0</v>
      </c>
      <c r="C40" s="73">
        <f>C12</f>
        <v>0</v>
      </c>
      <c r="D40" s="73">
        <f>SUM(B40:C40)</f>
        <v>0</v>
      </c>
      <c r="E40" s="834"/>
    </row>
    <row r="41" spans="1:5" s="78" customFormat="1" x14ac:dyDescent="0.2">
      <c r="A41" s="174" t="s">
        <v>953</v>
      </c>
      <c r="B41" s="1157"/>
      <c r="C41" s="1157"/>
      <c r="D41" s="73"/>
      <c r="E41" s="834"/>
    </row>
    <row r="42" spans="1:5" s="78" customFormat="1" x14ac:dyDescent="0.2">
      <c r="A42" s="147" t="s">
        <v>954</v>
      </c>
      <c r="B42" s="1158"/>
      <c r="C42" s="1162"/>
      <c r="D42" s="73">
        <f>D20</f>
        <v>0</v>
      </c>
      <c r="E42" s="834"/>
    </row>
    <row r="43" spans="1:5" s="78" customFormat="1" x14ac:dyDescent="0.2">
      <c r="A43" s="147" t="s">
        <v>635</v>
      </c>
      <c r="B43" s="1158"/>
      <c r="C43" s="1162"/>
      <c r="D43" s="73">
        <f>D28</f>
        <v>0</v>
      </c>
      <c r="E43" s="834"/>
    </row>
    <row r="44" spans="1:5" s="78" customFormat="1" x14ac:dyDescent="0.2">
      <c r="A44" s="147" t="s">
        <v>637</v>
      </c>
      <c r="B44" s="1158"/>
      <c r="C44" s="1162"/>
      <c r="D44" s="73">
        <f>D35</f>
        <v>0</v>
      </c>
      <c r="E44" s="834"/>
    </row>
    <row r="45" spans="1:5" s="78" customFormat="1" x14ac:dyDescent="0.2">
      <c r="A45" s="174" t="s">
        <v>959</v>
      </c>
      <c r="B45" s="1158"/>
      <c r="C45" s="1162"/>
      <c r="D45" s="74">
        <f>D37</f>
        <v>0</v>
      </c>
      <c r="E45" s="834"/>
    </row>
    <row r="46" spans="1:5" s="78" customFormat="1" x14ac:dyDescent="0.2">
      <c r="A46" s="147" t="s">
        <v>640</v>
      </c>
      <c r="B46" s="1161"/>
      <c r="C46" s="1163"/>
      <c r="D46" s="74">
        <v>0</v>
      </c>
      <c r="E46" s="834"/>
    </row>
    <row r="47" spans="1:5" s="78" customFormat="1" x14ac:dyDescent="0.2">
      <c r="A47" s="174" t="s">
        <v>952</v>
      </c>
      <c r="B47" s="74"/>
      <c r="C47" s="74"/>
      <c r="D47" s="74">
        <f>SUM(D45:D46)</f>
        <v>0</v>
      </c>
      <c r="E47" s="834"/>
    </row>
    <row r="48" spans="1:5" ht="27.75" customHeight="1" x14ac:dyDescent="0.2">
      <c r="A48" s="837"/>
      <c r="B48" s="838"/>
      <c r="C48" s="838"/>
      <c r="D48" s="838"/>
      <c r="E48" s="839"/>
    </row>
  </sheetData>
  <protectedRanges>
    <protectedRange sqref="B32:D32 D36" name="Range4"/>
    <protectedRange sqref="B4:C6" name="Range1"/>
    <protectedRange sqref="B17" name="Range2"/>
    <protectedRange sqref="B25:D25" name="Range3"/>
  </protectedRanges>
  <mergeCells count="3">
    <mergeCell ref="D8:D12"/>
    <mergeCell ref="B41:B46"/>
    <mergeCell ref="C41:C46"/>
  </mergeCells>
  <phoneticPr fontId="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A207"/>
  <sheetViews>
    <sheetView zoomScaleNormal="100" workbookViewId="0">
      <selection activeCell="E19" sqref="E19"/>
    </sheetView>
  </sheetViews>
  <sheetFormatPr defaultRowHeight="12.75" x14ac:dyDescent="0.2"/>
  <cols>
    <col min="1" max="1" width="3" style="472" bestFit="1" customWidth="1"/>
    <col min="2" max="2" width="27.5703125" style="418" customWidth="1"/>
    <col min="3" max="3" width="10.5703125" style="418" bestFit="1" customWidth="1"/>
    <col min="4" max="4" width="9" style="418" customWidth="1"/>
    <col min="5" max="5" width="9" style="418" bestFit="1" customWidth="1"/>
    <col min="6" max="6" width="9.42578125" style="418" customWidth="1"/>
    <col min="7" max="7" width="8.7109375" style="418" bestFit="1" customWidth="1"/>
    <col min="8" max="8" width="8.140625" style="418" bestFit="1" customWidth="1"/>
    <col min="9" max="9" width="8.28515625" style="418" bestFit="1" customWidth="1"/>
    <col min="10" max="22" width="8.28515625" style="418" customWidth="1"/>
    <col min="23" max="23" width="9.140625" style="446"/>
    <col min="24" max="16384" width="9.140625" style="418"/>
  </cols>
  <sheetData>
    <row r="1" spans="1:27" s="411" customFormat="1" ht="18" x14ac:dyDescent="0.25">
      <c r="A1" s="700"/>
      <c r="B1" s="695"/>
      <c r="C1" s="1034" t="s">
        <v>777</v>
      </c>
      <c r="D1" s="1035"/>
      <c r="E1" s="1035"/>
      <c r="F1" s="1035"/>
      <c r="G1" s="1035"/>
      <c r="H1" s="1036"/>
      <c r="I1" s="1036"/>
      <c r="J1" s="1036"/>
      <c r="K1" s="1036"/>
      <c r="L1" s="1036"/>
      <c r="M1" s="1036"/>
      <c r="N1" s="1036"/>
      <c r="O1" s="1036"/>
      <c r="P1" s="1036"/>
      <c r="Q1" s="725"/>
      <c r="R1" s="725"/>
      <c r="S1" s="725"/>
      <c r="T1" s="725"/>
      <c r="U1" s="725"/>
      <c r="V1" s="725"/>
      <c r="W1" s="695"/>
    </row>
    <row r="2" spans="1:27" s="411" customFormat="1" x14ac:dyDescent="0.2">
      <c r="A2" s="700"/>
      <c r="B2" s="695"/>
      <c r="C2" s="695"/>
      <c r="D2" s="695"/>
      <c r="E2" s="695"/>
      <c r="F2" s="695"/>
      <c r="G2" s="695"/>
      <c r="H2" s="695"/>
      <c r="I2" s="695"/>
      <c r="J2" s="695"/>
      <c r="K2" s="695"/>
      <c r="L2" s="695"/>
      <c r="M2" s="695"/>
      <c r="N2" s="695"/>
      <c r="O2" s="695"/>
      <c r="P2" s="695"/>
      <c r="Q2" s="695"/>
      <c r="R2" s="695"/>
      <c r="S2" s="695"/>
      <c r="T2" s="695"/>
      <c r="U2" s="695"/>
      <c r="V2" s="695"/>
      <c r="W2" s="695"/>
    </row>
    <row r="3" spans="1:27" s="411" customFormat="1" ht="15" x14ac:dyDescent="0.2">
      <c r="A3" s="700"/>
      <c r="B3" s="695"/>
      <c r="C3" s="738" t="s">
        <v>1021</v>
      </c>
      <c r="D3" s="739"/>
      <c r="E3" s="739"/>
      <c r="F3" s="739"/>
      <c r="G3" s="739"/>
      <c r="H3" s="739"/>
      <c r="I3" s="739"/>
      <c r="J3" s="739"/>
      <c r="K3" s="739"/>
      <c r="L3" s="739"/>
      <c r="M3" s="739"/>
      <c r="N3" s="739"/>
      <c r="O3" s="740"/>
      <c r="P3" s="695"/>
      <c r="Q3" s="695"/>
      <c r="R3" s="695"/>
      <c r="S3" s="695"/>
      <c r="T3" s="695"/>
      <c r="U3" s="695"/>
      <c r="V3" s="695"/>
      <c r="W3" s="695"/>
    </row>
    <row r="4" spans="1:27" s="411" customFormat="1" ht="15.75" x14ac:dyDescent="0.25">
      <c r="A4" s="700"/>
      <c r="B4" s="695" t="s">
        <v>786</v>
      </c>
      <c r="C4" s="696"/>
      <c r="D4" s="695"/>
      <c r="E4" s="695"/>
      <c r="F4" s="695"/>
      <c r="G4" s="695"/>
      <c r="H4" s="695"/>
      <c r="I4" s="695"/>
      <c r="J4" s="695"/>
      <c r="K4" s="695"/>
      <c r="L4" s="695"/>
      <c r="M4" s="695"/>
      <c r="N4" s="695"/>
      <c r="O4" s="695"/>
      <c r="P4" s="695"/>
      <c r="Q4" s="695"/>
      <c r="R4" s="695"/>
      <c r="S4" s="695"/>
      <c r="T4" s="695"/>
      <c r="U4" s="695"/>
      <c r="V4" s="695"/>
      <c r="W4" s="695"/>
    </row>
    <row r="5" spans="1:27" s="411" customFormat="1" x14ac:dyDescent="0.2">
      <c r="A5" s="701"/>
      <c r="B5" s="697"/>
      <c r="C5" s="695"/>
      <c r="D5" s="695"/>
      <c r="E5" s="695"/>
      <c r="F5" s="695"/>
      <c r="G5" s="695"/>
      <c r="H5" s="695"/>
      <c r="I5" s="695"/>
      <c r="J5" s="695"/>
      <c r="K5" s="695"/>
      <c r="L5" s="695"/>
      <c r="M5" s="695"/>
      <c r="N5" s="695"/>
      <c r="O5" s="695"/>
      <c r="P5" s="695"/>
      <c r="Q5" s="695"/>
      <c r="R5" s="695"/>
      <c r="S5" s="695"/>
      <c r="T5" s="695"/>
      <c r="U5" s="695"/>
      <c r="V5" s="695"/>
      <c r="W5" s="695"/>
    </row>
    <row r="6" spans="1:27" s="411" customFormat="1" x14ac:dyDescent="0.2">
      <c r="A6" s="700"/>
      <c r="B6" s="698" t="s">
        <v>79</v>
      </c>
      <c r="C6" s="1043" t="s">
        <v>1082</v>
      </c>
      <c r="D6" s="1044"/>
      <c r="E6" s="1044"/>
      <c r="F6" s="1044"/>
      <c r="G6" s="1044"/>
      <c r="H6" s="1044"/>
      <c r="I6" s="1045"/>
      <c r="J6" s="416"/>
      <c r="K6" s="416"/>
      <c r="L6" s="416"/>
      <c r="M6" s="416"/>
      <c r="N6" s="416"/>
      <c r="O6" s="704"/>
      <c r="P6" s="704"/>
      <c r="Q6" s="704"/>
      <c r="R6" s="704"/>
      <c r="S6" s="704"/>
      <c r="T6" s="704"/>
      <c r="U6" s="704"/>
      <c r="V6" s="704"/>
      <c r="W6" s="695"/>
    </row>
    <row r="7" spans="1:27" s="411" customFormat="1" x14ac:dyDescent="0.2">
      <c r="A7" s="700"/>
      <c r="B7" s="698" t="s">
        <v>81</v>
      </c>
      <c r="C7" s="205" t="s">
        <v>1080</v>
      </c>
      <c r="D7" s="702"/>
      <c r="E7" s="702"/>
      <c r="F7" s="702"/>
      <c r="G7" s="702"/>
      <c r="H7" s="702"/>
      <c r="I7" s="702"/>
      <c r="J7" s="702"/>
      <c r="K7" s="702"/>
      <c r="L7" s="702"/>
      <c r="M7" s="702"/>
      <c r="N7" s="702"/>
      <c r="O7" s="702"/>
      <c r="P7" s="702"/>
      <c r="Q7" s="702"/>
      <c r="R7" s="702"/>
      <c r="S7" s="702"/>
      <c r="T7" s="702"/>
      <c r="U7" s="702"/>
      <c r="V7" s="702"/>
      <c r="W7" s="695"/>
    </row>
    <row r="8" spans="1:27" s="411" customFormat="1" x14ac:dyDescent="0.2">
      <c r="A8" s="700"/>
      <c r="B8" s="698" t="s">
        <v>739</v>
      </c>
      <c r="C8" s="206" t="s">
        <v>82</v>
      </c>
      <c r="D8" s="703"/>
      <c r="E8" s="695"/>
      <c r="F8" s="695"/>
      <c r="G8" s="695"/>
      <c r="H8" s="695"/>
      <c r="I8" s="695"/>
      <c r="J8" s="695"/>
      <c r="K8" s="695"/>
      <c r="L8" s="695"/>
      <c r="M8" s="695"/>
      <c r="N8" s="695"/>
      <c r="O8" s="695"/>
      <c r="P8" s="695"/>
      <c r="Q8" s="695"/>
      <c r="R8" s="695"/>
      <c r="S8" s="695"/>
      <c r="T8" s="695"/>
      <c r="U8" s="695"/>
      <c r="V8" s="695"/>
      <c r="W8" s="695"/>
      <c r="AA8" s="418" t="s">
        <v>250</v>
      </c>
    </row>
    <row r="9" spans="1:27" s="411" customFormat="1" x14ac:dyDescent="0.2">
      <c r="A9" s="700"/>
      <c r="B9" s="699" t="s">
        <v>83</v>
      </c>
      <c r="C9" s="199" t="s">
        <v>84</v>
      </c>
      <c r="D9" s="419" t="str">
        <f>C9</f>
        <v>MARCH</v>
      </c>
      <c r="E9" s="419" t="str">
        <f t="shared" ref="E9:P9" si="0">D9</f>
        <v>MARCH</v>
      </c>
      <c r="F9" s="419" t="str">
        <f t="shared" si="0"/>
        <v>MARCH</v>
      </c>
      <c r="G9" s="419" t="str">
        <f>F9</f>
        <v>MARCH</v>
      </c>
      <c r="H9" s="419" t="str">
        <f t="shared" si="0"/>
        <v>MARCH</v>
      </c>
      <c r="I9" s="419" t="str">
        <f t="shared" si="0"/>
        <v>MARCH</v>
      </c>
      <c r="J9" s="419" t="str">
        <f t="shared" si="0"/>
        <v>MARCH</v>
      </c>
      <c r="K9" s="419" t="str">
        <f t="shared" si="0"/>
        <v>MARCH</v>
      </c>
      <c r="L9" s="419" t="str">
        <f t="shared" si="0"/>
        <v>MARCH</v>
      </c>
      <c r="M9" s="419" t="str">
        <f t="shared" si="0"/>
        <v>MARCH</v>
      </c>
      <c r="N9" s="419" t="str">
        <f t="shared" si="0"/>
        <v>MARCH</v>
      </c>
      <c r="O9" s="419" t="str">
        <f t="shared" si="0"/>
        <v>MARCH</v>
      </c>
      <c r="P9" s="419" t="str">
        <f t="shared" si="0"/>
        <v>MARCH</v>
      </c>
      <c r="Q9" s="419" t="str">
        <f t="shared" ref="Q9:V9" si="1">P9</f>
        <v>MARCH</v>
      </c>
      <c r="R9" s="419" t="str">
        <f t="shared" si="1"/>
        <v>MARCH</v>
      </c>
      <c r="S9" s="419" t="str">
        <f t="shared" si="1"/>
        <v>MARCH</v>
      </c>
      <c r="T9" s="419" t="str">
        <f t="shared" si="1"/>
        <v>MARCH</v>
      </c>
      <c r="U9" s="419" t="str">
        <f t="shared" si="1"/>
        <v>MARCH</v>
      </c>
      <c r="V9" s="419" t="str">
        <f t="shared" si="1"/>
        <v>MARCH</v>
      </c>
      <c r="W9" s="695"/>
      <c r="AA9" s="418" t="s">
        <v>84</v>
      </c>
    </row>
    <row r="10" spans="1:27" s="953" customFormat="1" x14ac:dyDescent="0.2">
      <c r="A10" s="950"/>
      <c r="B10" s="963" t="s">
        <v>85</v>
      </c>
      <c r="C10" s="964">
        <v>2020</v>
      </c>
      <c r="D10" s="965">
        <f>C10+1</f>
        <v>2021</v>
      </c>
      <c r="E10" s="965">
        <f t="shared" ref="E10:V10" si="2">D10+1</f>
        <v>2022</v>
      </c>
      <c r="F10" s="965">
        <f t="shared" si="2"/>
        <v>2023</v>
      </c>
      <c r="G10" s="965">
        <f t="shared" si="2"/>
        <v>2024</v>
      </c>
      <c r="H10" s="965">
        <f t="shared" si="2"/>
        <v>2025</v>
      </c>
      <c r="I10" s="965">
        <f t="shared" si="2"/>
        <v>2026</v>
      </c>
      <c r="J10" s="965">
        <f t="shared" si="2"/>
        <v>2027</v>
      </c>
      <c r="K10" s="965">
        <f t="shared" si="2"/>
        <v>2028</v>
      </c>
      <c r="L10" s="965">
        <f t="shared" si="2"/>
        <v>2029</v>
      </c>
      <c r="M10" s="965">
        <f t="shared" si="2"/>
        <v>2030</v>
      </c>
      <c r="N10" s="965">
        <f t="shared" si="2"/>
        <v>2031</v>
      </c>
      <c r="O10" s="965">
        <f t="shared" si="2"/>
        <v>2032</v>
      </c>
      <c r="P10" s="965">
        <f t="shared" si="2"/>
        <v>2033</v>
      </c>
      <c r="Q10" s="965">
        <f t="shared" si="2"/>
        <v>2034</v>
      </c>
      <c r="R10" s="965">
        <f t="shared" si="2"/>
        <v>2035</v>
      </c>
      <c r="S10" s="965">
        <f t="shared" si="2"/>
        <v>2036</v>
      </c>
      <c r="T10" s="965">
        <f t="shared" si="2"/>
        <v>2037</v>
      </c>
      <c r="U10" s="965">
        <f t="shared" si="2"/>
        <v>2038</v>
      </c>
      <c r="V10" s="965">
        <f t="shared" si="2"/>
        <v>2039</v>
      </c>
      <c r="W10" s="952"/>
      <c r="AA10" s="1" t="s">
        <v>251</v>
      </c>
    </row>
    <row r="11" spans="1:27" s="953" customFormat="1" x14ac:dyDescent="0.2">
      <c r="A11" s="950"/>
      <c r="B11" s="963" t="s">
        <v>740</v>
      </c>
      <c r="C11" s="962" t="s">
        <v>86</v>
      </c>
      <c r="D11" s="962" t="s">
        <v>86</v>
      </c>
      <c r="E11" s="962" t="s">
        <v>86</v>
      </c>
      <c r="F11" s="962" t="s">
        <v>686</v>
      </c>
      <c r="G11" s="962" t="s">
        <v>87</v>
      </c>
      <c r="H11" s="962" t="s">
        <v>87</v>
      </c>
      <c r="I11" s="962" t="s">
        <v>87</v>
      </c>
      <c r="J11" s="962" t="s">
        <v>87</v>
      </c>
      <c r="K11" s="962" t="s">
        <v>87</v>
      </c>
      <c r="L11" s="962" t="s">
        <v>87</v>
      </c>
      <c r="M11" s="962" t="s">
        <v>87</v>
      </c>
      <c r="N11" s="962" t="s">
        <v>87</v>
      </c>
      <c r="O11" s="962" t="s">
        <v>87</v>
      </c>
      <c r="P11" s="962" t="s">
        <v>87</v>
      </c>
      <c r="Q11" s="962" t="s">
        <v>87</v>
      </c>
      <c r="R11" s="962" t="s">
        <v>87</v>
      </c>
      <c r="S11" s="962" t="s">
        <v>87</v>
      </c>
      <c r="T11" s="962" t="s">
        <v>87</v>
      </c>
      <c r="U11" s="962" t="s">
        <v>87</v>
      </c>
      <c r="V11" s="962" t="s">
        <v>87</v>
      </c>
      <c r="W11" s="952"/>
      <c r="AA11" s="1" t="s">
        <v>252</v>
      </c>
    </row>
    <row r="12" spans="1:27" s="411" customFormat="1" x14ac:dyDescent="0.2">
      <c r="A12" s="700"/>
      <c r="B12" s="698"/>
      <c r="C12" s="705"/>
      <c r="D12" s="705"/>
      <c r="E12" s="705"/>
      <c r="F12" s="705"/>
      <c r="G12" s="705"/>
      <c r="H12" s="705"/>
      <c r="I12" s="705"/>
      <c r="J12" s="705"/>
      <c r="K12" s="705"/>
      <c r="L12" s="705"/>
      <c r="M12" s="705"/>
      <c r="N12" s="705"/>
      <c r="O12" s="705"/>
      <c r="P12" s="705"/>
      <c r="Q12" s="705"/>
      <c r="R12" s="705"/>
      <c r="S12" s="705"/>
      <c r="T12" s="705"/>
      <c r="U12" s="705"/>
      <c r="V12" s="705"/>
      <c r="W12" s="695"/>
      <c r="AA12" s="418"/>
    </row>
    <row r="13" spans="1:27" s="411" customFormat="1" x14ac:dyDescent="0.2">
      <c r="A13" s="700"/>
      <c r="B13" s="698"/>
      <c r="C13" s="741" t="s">
        <v>748</v>
      </c>
      <c r="D13" s="742"/>
      <c r="E13" s="742"/>
      <c r="F13" s="742"/>
      <c r="G13" s="742"/>
      <c r="H13" s="742"/>
      <c r="I13" s="742"/>
      <c r="J13" s="742"/>
      <c r="K13" s="742"/>
      <c r="L13" s="742"/>
      <c r="M13" s="742"/>
      <c r="N13" s="742"/>
      <c r="O13" s="742"/>
      <c r="P13" s="743"/>
      <c r="Q13" s="743"/>
      <c r="R13" s="743"/>
      <c r="S13" s="743"/>
      <c r="T13" s="743"/>
      <c r="U13" s="743"/>
      <c r="V13" s="743"/>
      <c r="W13" s="695"/>
      <c r="AA13" s="418"/>
    </row>
    <row r="14" spans="1:27" s="411" customFormat="1" x14ac:dyDescent="0.2">
      <c r="A14" s="700"/>
      <c r="B14" s="698"/>
      <c r="C14" s="706"/>
      <c r="D14" s="705"/>
      <c r="E14" s="705"/>
      <c r="F14" s="705"/>
      <c r="G14" s="705"/>
      <c r="H14" s="705"/>
      <c r="I14" s="705"/>
      <c r="J14" s="705"/>
      <c r="K14" s="705"/>
      <c r="L14" s="705"/>
      <c r="M14" s="705"/>
      <c r="N14" s="705"/>
      <c r="O14" s="705"/>
      <c r="P14" s="705"/>
      <c r="Q14" s="705"/>
      <c r="R14" s="705"/>
      <c r="S14" s="705"/>
      <c r="T14" s="705"/>
      <c r="U14" s="705"/>
      <c r="V14" s="705"/>
      <c r="W14" s="695"/>
      <c r="AA14" s="418"/>
    </row>
    <row r="15" spans="1:27" s="411" customFormat="1" x14ac:dyDescent="0.2">
      <c r="A15" s="700"/>
      <c r="B15" s="706"/>
      <c r="C15" s="1009">
        <f>C10</f>
        <v>2020</v>
      </c>
      <c r="D15" s="1009">
        <f t="shared" ref="D15:P15" si="3">D10</f>
        <v>2021</v>
      </c>
      <c r="E15" s="1009">
        <f t="shared" si="3"/>
        <v>2022</v>
      </c>
      <c r="F15" s="1009">
        <f t="shared" si="3"/>
        <v>2023</v>
      </c>
      <c r="G15" s="1009">
        <f t="shared" si="3"/>
        <v>2024</v>
      </c>
      <c r="H15" s="1009">
        <f t="shared" si="3"/>
        <v>2025</v>
      </c>
      <c r="I15" s="1009">
        <f t="shared" si="3"/>
        <v>2026</v>
      </c>
      <c r="J15" s="1009">
        <f t="shared" si="3"/>
        <v>2027</v>
      </c>
      <c r="K15" s="1009">
        <f t="shared" si="3"/>
        <v>2028</v>
      </c>
      <c r="L15" s="1009">
        <f t="shared" si="3"/>
        <v>2029</v>
      </c>
      <c r="M15" s="1009">
        <f t="shared" si="3"/>
        <v>2030</v>
      </c>
      <c r="N15" s="1009">
        <f t="shared" si="3"/>
        <v>2031</v>
      </c>
      <c r="O15" s="1009">
        <f t="shared" si="3"/>
        <v>2032</v>
      </c>
      <c r="P15" s="1009">
        <f t="shared" si="3"/>
        <v>2033</v>
      </c>
      <c r="Q15" s="1009">
        <f t="shared" ref="Q15:V15" si="4">Q10</f>
        <v>2034</v>
      </c>
      <c r="R15" s="1009">
        <f t="shared" si="4"/>
        <v>2035</v>
      </c>
      <c r="S15" s="1009">
        <f t="shared" si="4"/>
        <v>2036</v>
      </c>
      <c r="T15" s="1009">
        <f t="shared" si="4"/>
        <v>2037</v>
      </c>
      <c r="U15" s="1009">
        <f t="shared" si="4"/>
        <v>2038</v>
      </c>
      <c r="V15" s="1009">
        <f t="shared" si="4"/>
        <v>2039</v>
      </c>
      <c r="W15" s="695"/>
      <c r="AA15" s="418" t="s">
        <v>202</v>
      </c>
    </row>
    <row r="16" spans="1:27" s="411" customFormat="1" x14ac:dyDescent="0.2">
      <c r="A16" s="700"/>
      <c r="B16" s="812" t="s">
        <v>741</v>
      </c>
      <c r="C16" s="199"/>
      <c r="D16" s="199"/>
      <c r="E16" s="199"/>
      <c r="F16" s="199"/>
      <c r="G16" s="199"/>
      <c r="H16" s="199"/>
      <c r="I16" s="199"/>
      <c r="J16" s="199"/>
      <c r="K16" s="199"/>
      <c r="L16" s="199"/>
      <c r="M16" s="199"/>
      <c r="N16" s="199"/>
      <c r="O16" s="199"/>
      <c r="P16" s="199"/>
      <c r="Q16" s="199"/>
      <c r="R16" s="199"/>
      <c r="S16" s="199"/>
      <c r="T16" s="199"/>
      <c r="U16" s="199"/>
      <c r="V16" s="199"/>
      <c r="W16" s="695"/>
      <c r="AA16" s="418" t="s">
        <v>203</v>
      </c>
    </row>
    <row r="17" spans="1:27" s="411" customFormat="1" x14ac:dyDescent="0.2">
      <c r="A17" s="700"/>
      <c r="B17" s="812" t="s">
        <v>742</v>
      </c>
      <c r="C17" s="737"/>
      <c r="D17" s="199"/>
      <c r="E17" s="199"/>
      <c r="F17" s="199"/>
      <c r="G17" s="199"/>
      <c r="H17" s="199"/>
      <c r="I17" s="199"/>
      <c r="J17" s="199"/>
      <c r="K17" s="199"/>
      <c r="L17" s="199"/>
      <c r="M17" s="199"/>
      <c r="N17" s="199"/>
      <c r="O17" s="199"/>
      <c r="P17" s="199"/>
      <c r="Q17" s="199"/>
      <c r="R17" s="199"/>
      <c r="S17" s="199"/>
      <c r="T17" s="199"/>
      <c r="U17" s="199"/>
      <c r="V17" s="199"/>
      <c r="W17" s="695"/>
      <c r="AA17" s="418" t="s">
        <v>204</v>
      </c>
    </row>
    <row r="18" spans="1:27" s="411" customFormat="1" x14ac:dyDescent="0.2">
      <c r="A18" s="700"/>
      <c r="B18" s="812" t="s">
        <v>743</v>
      </c>
      <c r="C18" s="737"/>
      <c r="D18" s="199"/>
      <c r="E18" s="199"/>
      <c r="F18" s="199"/>
      <c r="G18" s="199"/>
      <c r="H18" s="199"/>
      <c r="I18" s="199"/>
      <c r="J18" s="199"/>
      <c r="K18" s="199"/>
      <c r="L18" s="199"/>
      <c r="M18" s="199"/>
      <c r="N18" s="199"/>
      <c r="O18" s="199"/>
      <c r="P18" s="199"/>
      <c r="Q18" s="199"/>
      <c r="R18" s="199"/>
      <c r="S18" s="199"/>
      <c r="T18" s="199"/>
      <c r="U18" s="199"/>
      <c r="V18" s="199"/>
      <c r="W18" s="695"/>
      <c r="AA18" s="418" t="s">
        <v>205</v>
      </c>
    </row>
    <row r="19" spans="1:27" s="411" customFormat="1" x14ac:dyDescent="0.2">
      <c r="A19" s="700"/>
      <c r="B19" s="812" t="s">
        <v>744</v>
      </c>
      <c r="C19" s="199"/>
      <c r="D19" s="199"/>
      <c r="E19" s="199"/>
      <c r="F19" s="199"/>
      <c r="G19" s="199"/>
      <c r="H19" s="199"/>
      <c r="I19" s="199"/>
      <c r="J19" s="199"/>
      <c r="K19" s="199"/>
      <c r="L19" s="199"/>
      <c r="M19" s="199"/>
      <c r="N19" s="199"/>
      <c r="O19" s="199"/>
      <c r="P19" s="199"/>
      <c r="Q19" s="199"/>
      <c r="R19" s="199"/>
      <c r="S19" s="199"/>
      <c r="T19" s="199"/>
      <c r="U19" s="199"/>
      <c r="V19" s="199"/>
      <c r="W19" s="695"/>
      <c r="AA19" s="418" t="s">
        <v>696</v>
      </c>
    </row>
    <row r="20" spans="1:27" s="411" customFormat="1" x14ac:dyDescent="0.2">
      <c r="A20" s="700"/>
      <c r="B20" s="706" t="s">
        <v>745</v>
      </c>
      <c r="C20" s="199"/>
      <c r="D20" s="199"/>
      <c r="E20" s="199"/>
      <c r="F20" s="199"/>
      <c r="G20" s="199"/>
      <c r="H20" s="199"/>
      <c r="I20" s="199"/>
      <c r="J20" s="199"/>
      <c r="K20" s="199"/>
      <c r="L20" s="199"/>
      <c r="M20" s="199"/>
      <c r="N20" s="199"/>
      <c r="O20" s="199"/>
      <c r="P20" s="199"/>
      <c r="Q20" s="199"/>
      <c r="R20" s="199"/>
      <c r="S20" s="199"/>
      <c r="T20" s="199"/>
      <c r="U20" s="199"/>
      <c r="V20" s="199"/>
      <c r="W20" s="695"/>
    </row>
    <row r="21" spans="1:27" s="411" customFormat="1" x14ac:dyDescent="0.2">
      <c r="A21" s="700"/>
      <c r="B21" s="706" t="s">
        <v>746</v>
      </c>
      <c r="C21" s="745"/>
      <c r="D21" s="745"/>
      <c r="E21" s="745"/>
      <c r="F21" s="745"/>
      <c r="G21" s="745"/>
      <c r="H21" s="745"/>
      <c r="I21" s="745"/>
      <c r="J21" s="745"/>
      <c r="K21" s="745"/>
      <c r="L21" s="745"/>
      <c r="M21" s="745"/>
      <c r="N21" s="745"/>
      <c r="O21" s="745"/>
      <c r="P21" s="745"/>
      <c r="Q21" s="745"/>
      <c r="R21" s="745"/>
      <c r="S21" s="745"/>
      <c r="T21" s="745"/>
      <c r="U21" s="745"/>
      <c r="V21" s="745"/>
      <c r="W21" s="695"/>
    </row>
    <row r="22" spans="1:27" s="411" customFormat="1" x14ac:dyDescent="0.2">
      <c r="A22" s="700"/>
      <c r="B22" s="706" t="s">
        <v>989</v>
      </c>
      <c r="C22" s="199"/>
      <c r="D22" s="199"/>
      <c r="E22" s="199"/>
      <c r="F22" s="199"/>
      <c r="G22" s="199"/>
      <c r="H22" s="199"/>
      <c r="I22" s="199"/>
      <c r="J22" s="199"/>
      <c r="K22" s="199"/>
      <c r="L22" s="199"/>
      <c r="M22" s="199"/>
      <c r="N22" s="199"/>
      <c r="O22" s="199"/>
      <c r="P22" s="199"/>
      <c r="Q22" s="199"/>
      <c r="R22" s="199"/>
      <c r="S22" s="199"/>
      <c r="T22" s="199"/>
      <c r="U22" s="199"/>
      <c r="V22" s="199"/>
      <c r="W22" s="695"/>
    </row>
    <row r="23" spans="1:27" s="411" customFormat="1" x14ac:dyDescent="0.2">
      <c r="A23" s="700"/>
      <c r="B23" s="706" t="s">
        <v>990</v>
      </c>
      <c r="C23" s="745"/>
      <c r="D23" s="745"/>
      <c r="E23" s="745"/>
      <c r="F23" s="745"/>
      <c r="G23" s="745"/>
      <c r="H23" s="745"/>
      <c r="I23" s="745"/>
      <c r="J23" s="745"/>
      <c r="K23" s="745"/>
      <c r="L23" s="745"/>
      <c r="M23" s="745"/>
      <c r="N23" s="745"/>
      <c r="O23" s="745"/>
      <c r="P23" s="745"/>
      <c r="Q23" s="745"/>
      <c r="R23" s="745"/>
      <c r="S23" s="745"/>
      <c r="T23" s="745"/>
      <c r="U23" s="745"/>
      <c r="V23" s="745"/>
      <c r="W23" s="695"/>
    </row>
    <row r="24" spans="1:27" s="411" customFormat="1" x14ac:dyDescent="0.2">
      <c r="A24" s="928" t="s">
        <v>909</v>
      </c>
      <c r="B24" s="929" t="s">
        <v>913</v>
      </c>
      <c r="C24" s="1010">
        <f>C10</f>
        <v>2020</v>
      </c>
      <c r="D24" s="1010">
        <f t="shared" ref="D24:P24" si="5">D10</f>
        <v>2021</v>
      </c>
      <c r="E24" s="1010">
        <f t="shared" si="5"/>
        <v>2022</v>
      </c>
      <c r="F24" s="1010">
        <f t="shared" si="5"/>
        <v>2023</v>
      </c>
      <c r="G24" s="1010">
        <f t="shared" si="5"/>
        <v>2024</v>
      </c>
      <c r="H24" s="1010">
        <f t="shared" si="5"/>
        <v>2025</v>
      </c>
      <c r="I24" s="1010">
        <f t="shared" si="5"/>
        <v>2026</v>
      </c>
      <c r="J24" s="1010">
        <f t="shared" si="5"/>
        <v>2027</v>
      </c>
      <c r="K24" s="1010">
        <f t="shared" si="5"/>
        <v>2028</v>
      </c>
      <c r="L24" s="1010">
        <f>L10</f>
        <v>2029</v>
      </c>
      <c r="M24" s="1010">
        <f t="shared" si="5"/>
        <v>2030</v>
      </c>
      <c r="N24" s="1010">
        <f t="shared" si="5"/>
        <v>2031</v>
      </c>
      <c r="O24" s="1010">
        <f t="shared" si="5"/>
        <v>2032</v>
      </c>
      <c r="P24" s="1010">
        <f t="shared" si="5"/>
        <v>2033</v>
      </c>
      <c r="Q24" s="1010">
        <f t="shared" ref="Q24:V24" si="6">Q10</f>
        <v>2034</v>
      </c>
      <c r="R24" s="1010">
        <f t="shared" si="6"/>
        <v>2035</v>
      </c>
      <c r="S24" s="1010">
        <f t="shared" si="6"/>
        <v>2036</v>
      </c>
      <c r="T24" s="1010">
        <f t="shared" si="6"/>
        <v>2037</v>
      </c>
      <c r="U24" s="1010">
        <f t="shared" si="6"/>
        <v>2038</v>
      </c>
      <c r="V24" s="1010">
        <f t="shared" si="6"/>
        <v>2039</v>
      </c>
      <c r="W24" s="695"/>
    </row>
    <row r="25" spans="1:27" s="411" customFormat="1" x14ac:dyDescent="0.2">
      <c r="A25" s="700"/>
      <c r="B25" s="707" t="s">
        <v>435</v>
      </c>
      <c r="C25" s="744"/>
      <c r="D25" s="744"/>
      <c r="E25" s="744"/>
      <c r="F25" s="744"/>
      <c r="G25" s="744"/>
      <c r="H25" s="744"/>
      <c r="I25" s="744"/>
      <c r="J25" s="744"/>
      <c r="K25" s="744"/>
      <c r="L25" s="744"/>
      <c r="M25" s="744"/>
      <c r="N25" s="744"/>
      <c r="O25" s="744"/>
      <c r="P25" s="744"/>
      <c r="Q25" s="744"/>
      <c r="R25" s="744"/>
      <c r="S25" s="744"/>
      <c r="T25" s="744"/>
      <c r="U25" s="744"/>
      <c r="V25" s="744"/>
      <c r="W25" s="695"/>
    </row>
    <row r="26" spans="1:27" s="411" customFormat="1" x14ac:dyDescent="0.2">
      <c r="A26" s="700"/>
      <c r="B26" s="708" t="s">
        <v>436</v>
      </c>
      <c r="C26" s="199"/>
      <c r="D26" s="199"/>
      <c r="E26" s="199"/>
      <c r="F26" s="199"/>
      <c r="G26" s="199"/>
      <c r="H26" s="199"/>
      <c r="I26" s="199"/>
      <c r="J26" s="199"/>
      <c r="K26" s="199"/>
      <c r="L26" s="199"/>
      <c r="M26" s="199"/>
      <c r="N26" s="199"/>
      <c r="O26" s="199"/>
      <c r="P26" s="199"/>
      <c r="Q26" s="199"/>
      <c r="R26" s="199"/>
      <c r="S26" s="199"/>
      <c r="T26" s="199"/>
      <c r="U26" s="199"/>
      <c r="V26" s="199"/>
      <c r="W26" s="695"/>
    </row>
    <row r="27" spans="1:27" s="411" customFormat="1" x14ac:dyDescent="0.2">
      <c r="A27" s="700"/>
      <c r="B27" s="708" t="s">
        <v>44</v>
      </c>
      <c r="C27" s="199"/>
      <c r="D27" s="199"/>
      <c r="E27" s="199"/>
      <c r="F27" s="199"/>
      <c r="G27" s="199"/>
      <c r="H27" s="199"/>
      <c r="I27" s="199"/>
      <c r="J27" s="199"/>
      <c r="K27" s="199"/>
      <c r="L27" s="199"/>
      <c r="M27" s="199"/>
      <c r="N27" s="199"/>
      <c r="O27" s="199"/>
      <c r="P27" s="199"/>
      <c r="Q27" s="199"/>
      <c r="R27" s="199"/>
      <c r="S27" s="199"/>
      <c r="T27" s="199"/>
      <c r="U27" s="199"/>
      <c r="V27" s="199"/>
      <c r="W27" s="695"/>
    </row>
    <row r="28" spans="1:27" s="411" customFormat="1" x14ac:dyDescent="0.2">
      <c r="A28" s="700"/>
      <c r="B28" s="708" t="s">
        <v>437</v>
      </c>
      <c r="C28" s="199"/>
      <c r="D28" s="199"/>
      <c r="E28" s="199"/>
      <c r="F28" s="199"/>
      <c r="G28" s="744"/>
      <c r="H28" s="199"/>
      <c r="I28" s="199"/>
      <c r="J28" s="199"/>
      <c r="K28" s="199"/>
      <c r="L28" s="199"/>
      <c r="M28" s="199"/>
      <c r="N28" s="199"/>
      <c r="O28" s="199"/>
      <c r="P28" s="199"/>
      <c r="Q28" s="199"/>
      <c r="R28" s="199"/>
      <c r="S28" s="199"/>
      <c r="T28" s="199"/>
      <c r="U28" s="199"/>
      <c r="V28" s="199"/>
      <c r="W28" s="695"/>
    </row>
    <row r="29" spans="1:27" s="411" customFormat="1" x14ac:dyDescent="0.2">
      <c r="A29" s="700"/>
      <c r="B29" s="708" t="s">
        <v>486</v>
      </c>
      <c r="C29" s="199"/>
      <c r="D29" s="199"/>
      <c r="E29" s="199"/>
      <c r="F29" s="199"/>
      <c r="G29" s="199"/>
      <c r="H29" s="199"/>
      <c r="I29" s="199"/>
      <c r="J29" s="199"/>
      <c r="K29" s="199"/>
      <c r="L29" s="199"/>
      <c r="M29" s="199"/>
      <c r="N29" s="199"/>
      <c r="O29" s="199"/>
      <c r="P29" s="199"/>
      <c r="Q29" s="199"/>
      <c r="R29" s="199"/>
      <c r="S29" s="199"/>
      <c r="T29" s="199"/>
      <c r="U29" s="199"/>
      <c r="V29" s="199"/>
      <c r="W29" s="695"/>
    </row>
    <row r="30" spans="1:27" s="411" customFormat="1" x14ac:dyDescent="0.2">
      <c r="A30" s="700"/>
      <c r="B30" s="708" t="s">
        <v>53</v>
      </c>
      <c r="C30" s="199"/>
      <c r="D30" s="199"/>
      <c r="E30" s="199"/>
      <c r="F30" s="199"/>
      <c r="G30" s="199"/>
      <c r="H30" s="199"/>
      <c r="I30" s="199"/>
      <c r="J30" s="199"/>
      <c r="K30" s="199"/>
      <c r="L30" s="199"/>
      <c r="M30" s="199"/>
      <c r="N30" s="199"/>
      <c r="O30" s="199"/>
      <c r="P30" s="199"/>
      <c r="Q30" s="199"/>
      <c r="R30" s="199"/>
      <c r="S30" s="199"/>
      <c r="T30" s="199"/>
      <c r="U30" s="199"/>
      <c r="V30" s="199"/>
      <c r="W30" s="695"/>
    </row>
    <row r="31" spans="1:27" s="411" customFormat="1" x14ac:dyDescent="0.2">
      <c r="A31" s="700"/>
      <c r="B31" s="708" t="s">
        <v>54</v>
      </c>
      <c r="C31" s="199"/>
      <c r="D31" s="199"/>
      <c r="E31" s="199"/>
      <c r="F31" s="199"/>
      <c r="G31" s="744"/>
      <c r="H31" s="199"/>
      <c r="I31" s="199"/>
      <c r="J31" s="199"/>
      <c r="K31" s="199"/>
      <c r="L31" s="199"/>
      <c r="M31" s="199"/>
      <c r="N31" s="199"/>
      <c r="O31" s="199"/>
      <c r="P31" s="199"/>
      <c r="Q31" s="199"/>
      <c r="R31" s="199"/>
      <c r="S31" s="199"/>
      <c r="T31" s="199"/>
      <c r="U31" s="199"/>
      <c r="V31" s="199"/>
      <c r="W31" s="695"/>
    </row>
    <row r="32" spans="1:27" s="411" customFormat="1" x14ac:dyDescent="0.2">
      <c r="A32" s="700"/>
      <c r="B32" s="708" t="s">
        <v>55</v>
      </c>
      <c r="C32" s="199"/>
      <c r="D32" s="199"/>
      <c r="E32" s="199"/>
      <c r="F32" s="199"/>
      <c r="G32" s="199"/>
      <c r="H32" s="199"/>
      <c r="I32" s="199"/>
      <c r="J32" s="199"/>
      <c r="K32" s="199"/>
      <c r="L32" s="199"/>
      <c r="M32" s="199"/>
      <c r="N32" s="199"/>
      <c r="O32" s="199"/>
      <c r="P32" s="199"/>
      <c r="Q32" s="199"/>
      <c r="R32" s="199"/>
      <c r="S32" s="199"/>
      <c r="T32" s="199"/>
      <c r="U32" s="199"/>
      <c r="V32" s="199"/>
      <c r="W32" s="695"/>
    </row>
    <row r="33" spans="1:23" s="411" customFormat="1" x14ac:dyDescent="0.2">
      <c r="A33" s="700"/>
      <c r="B33" s="708" t="s">
        <v>57</v>
      </c>
      <c r="C33" s="199"/>
      <c r="D33" s="199"/>
      <c r="E33" s="199"/>
      <c r="F33" s="199"/>
      <c r="G33" s="199"/>
      <c r="H33" s="199"/>
      <c r="I33" s="199"/>
      <c r="J33" s="199"/>
      <c r="K33" s="199"/>
      <c r="L33" s="199"/>
      <c r="M33" s="199"/>
      <c r="N33" s="199"/>
      <c r="O33" s="199"/>
      <c r="P33" s="199"/>
      <c r="Q33" s="199"/>
      <c r="R33" s="199"/>
      <c r="S33" s="199"/>
      <c r="T33" s="199"/>
      <c r="U33" s="199"/>
      <c r="V33" s="199"/>
      <c r="W33" s="695"/>
    </row>
    <row r="34" spans="1:23" s="411" customFormat="1" x14ac:dyDescent="0.2">
      <c r="A34" s="700"/>
      <c r="B34" s="708" t="s">
        <v>329</v>
      </c>
      <c r="C34" s="199"/>
      <c r="D34" s="199"/>
      <c r="E34" s="199"/>
      <c r="F34" s="199"/>
      <c r="G34" s="744"/>
      <c r="H34" s="199"/>
      <c r="I34" s="199"/>
      <c r="J34" s="199"/>
      <c r="K34" s="199"/>
      <c r="L34" s="199"/>
      <c r="M34" s="199"/>
      <c r="N34" s="199"/>
      <c r="O34" s="199"/>
      <c r="P34" s="199"/>
      <c r="Q34" s="199"/>
      <c r="R34" s="199"/>
      <c r="S34" s="199"/>
      <c r="T34" s="199"/>
      <c r="U34" s="199"/>
      <c r="V34" s="199"/>
      <c r="W34" s="695"/>
    </row>
    <row r="35" spans="1:23" s="411" customFormat="1" x14ac:dyDescent="0.2">
      <c r="A35" s="700"/>
      <c r="B35" s="708" t="s">
        <v>56</v>
      </c>
      <c r="C35" s="199"/>
      <c r="D35" s="199"/>
      <c r="E35" s="199"/>
      <c r="F35" s="199"/>
      <c r="G35" s="199"/>
      <c r="H35" s="199"/>
      <c r="I35" s="199"/>
      <c r="J35" s="199"/>
      <c r="K35" s="199"/>
      <c r="L35" s="199"/>
      <c r="M35" s="199"/>
      <c r="N35" s="199"/>
      <c r="O35" s="199"/>
      <c r="P35" s="199"/>
      <c r="Q35" s="199"/>
      <c r="R35" s="199"/>
      <c r="S35" s="199"/>
      <c r="T35" s="199"/>
      <c r="U35" s="199"/>
      <c r="V35" s="199"/>
      <c r="W35" s="695"/>
    </row>
    <row r="36" spans="1:23" s="17" customFormat="1" x14ac:dyDescent="0.2">
      <c r="A36" s="643"/>
      <c r="B36" s="947" t="s">
        <v>1049</v>
      </c>
      <c r="C36" s="948" t="str">
        <f>IF(ISERROR(C35/C26*100),"",IF(C35/C26*100=0,"",ROUND(C35/C26*100,2)))</f>
        <v/>
      </c>
      <c r="D36" s="948" t="str">
        <f t="shared" ref="D36:I36" si="7">IF(ISERROR(D35/D26*100),"",IF(D35/D26*100=0,"",ROUND(D35/D26*100,2)))</f>
        <v/>
      </c>
      <c r="E36" s="948" t="str">
        <f t="shared" si="7"/>
        <v/>
      </c>
      <c r="F36" s="948" t="str">
        <f t="shared" si="7"/>
        <v/>
      </c>
      <c r="G36" s="948" t="str">
        <f t="shared" si="7"/>
        <v/>
      </c>
      <c r="H36" s="948" t="str">
        <f t="shared" si="7"/>
        <v/>
      </c>
      <c r="I36" s="948" t="str">
        <f t="shared" si="7"/>
        <v/>
      </c>
      <c r="J36" s="948" t="str">
        <f t="shared" ref="J36:P36" si="8">IF(ISERROR(J35/J26*100),"",IF(J35/J26*100=0,"",ROUND(J35/J26*100,2)))</f>
        <v/>
      </c>
      <c r="K36" s="948" t="str">
        <f t="shared" si="8"/>
        <v/>
      </c>
      <c r="L36" s="948" t="str">
        <f t="shared" si="8"/>
        <v/>
      </c>
      <c r="M36" s="948" t="str">
        <f t="shared" si="8"/>
        <v/>
      </c>
      <c r="N36" s="948" t="str">
        <f t="shared" si="8"/>
        <v/>
      </c>
      <c r="O36" s="948" t="str">
        <f t="shared" si="8"/>
        <v/>
      </c>
      <c r="P36" s="948" t="str">
        <f t="shared" si="8"/>
        <v/>
      </c>
      <c r="Q36" s="948" t="str">
        <f t="shared" ref="Q36:V36" si="9">IF(ISERROR(Q35/Q26*100),"",IF(Q35/Q26*100=0,"",ROUND(Q35/Q26*100,2)))</f>
        <v/>
      </c>
      <c r="R36" s="948" t="str">
        <f t="shared" si="9"/>
        <v/>
      </c>
      <c r="S36" s="948" t="str">
        <f t="shared" si="9"/>
        <v/>
      </c>
      <c r="T36" s="948" t="str">
        <f t="shared" si="9"/>
        <v/>
      </c>
      <c r="U36" s="948" t="str">
        <f t="shared" si="9"/>
        <v/>
      </c>
      <c r="V36" s="948" t="str">
        <f t="shared" si="9"/>
        <v/>
      </c>
      <c r="W36" s="949"/>
    </row>
    <row r="37" spans="1:23" s="411" customFormat="1" x14ac:dyDescent="0.2">
      <c r="A37" s="700"/>
      <c r="B37" s="708" t="s">
        <v>45</v>
      </c>
      <c r="C37" s="199"/>
      <c r="D37" s="199"/>
      <c r="E37" s="199"/>
      <c r="F37" s="199"/>
      <c r="G37" s="744"/>
      <c r="H37" s="199"/>
      <c r="I37" s="199"/>
      <c r="J37" s="199"/>
      <c r="K37" s="199"/>
      <c r="L37" s="199"/>
      <c r="M37" s="199"/>
      <c r="N37" s="199"/>
      <c r="O37" s="199"/>
      <c r="P37" s="199"/>
      <c r="Q37" s="199"/>
      <c r="R37" s="199"/>
      <c r="S37" s="199"/>
      <c r="T37" s="199"/>
      <c r="U37" s="199"/>
      <c r="V37" s="199"/>
      <c r="W37" s="695"/>
    </row>
    <row r="38" spans="1:23" s="953" customFormat="1" x14ac:dyDescent="0.2">
      <c r="A38" s="950"/>
      <c r="B38" s="951" t="s">
        <v>46</v>
      </c>
      <c r="C38" s="948" t="str">
        <f>IF(ISERROR(C37/C26*100),"",IF(C37/C26*100=0,"",ROUND(C37/C26*100,2)))</f>
        <v/>
      </c>
      <c r="D38" s="948" t="str">
        <f t="shared" ref="D38:P38" si="10">IF(ISERROR(D37/D26*100),"",IF(D37/D26*100=0,"",ROUND(D37/D26*100,2)))</f>
        <v/>
      </c>
      <c r="E38" s="948" t="str">
        <f t="shared" si="10"/>
        <v/>
      </c>
      <c r="F38" s="948" t="str">
        <f t="shared" si="10"/>
        <v/>
      </c>
      <c r="G38" s="948" t="str">
        <f t="shared" si="10"/>
        <v/>
      </c>
      <c r="H38" s="948" t="str">
        <f t="shared" si="10"/>
        <v/>
      </c>
      <c r="I38" s="948" t="str">
        <f t="shared" si="10"/>
        <v/>
      </c>
      <c r="J38" s="948" t="str">
        <f t="shared" si="10"/>
        <v/>
      </c>
      <c r="K38" s="948" t="str">
        <f t="shared" si="10"/>
        <v/>
      </c>
      <c r="L38" s="948" t="str">
        <f t="shared" si="10"/>
        <v/>
      </c>
      <c r="M38" s="948" t="str">
        <f t="shared" si="10"/>
        <v/>
      </c>
      <c r="N38" s="948" t="str">
        <f t="shared" si="10"/>
        <v/>
      </c>
      <c r="O38" s="948" t="str">
        <f t="shared" si="10"/>
        <v/>
      </c>
      <c r="P38" s="948" t="str">
        <f t="shared" si="10"/>
        <v/>
      </c>
      <c r="Q38" s="948" t="str">
        <f t="shared" ref="Q38:V38" si="11">IF(ISERROR(Q37/Q26*100),"",IF(Q37/Q26*100=0,"",ROUND(Q37/Q26*100,2)))</f>
        <v/>
      </c>
      <c r="R38" s="948" t="str">
        <f t="shared" si="11"/>
        <v/>
      </c>
      <c r="S38" s="948" t="str">
        <f t="shared" si="11"/>
        <v/>
      </c>
      <c r="T38" s="948" t="str">
        <f t="shared" si="11"/>
        <v/>
      </c>
      <c r="U38" s="948" t="str">
        <f t="shared" si="11"/>
        <v/>
      </c>
      <c r="V38" s="948" t="str">
        <f t="shared" si="11"/>
        <v/>
      </c>
      <c r="W38" s="952"/>
    </row>
    <row r="39" spans="1:23" s="411" customFormat="1" x14ac:dyDescent="0.2">
      <c r="A39" s="700"/>
      <c r="B39" s="708" t="s">
        <v>35</v>
      </c>
      <c r="C39" s="199"/>
      <c r="D39" s="199"/>
      <c r="E39" s="199"/>
      <c r="F39" s="199"/>
      <c r="G39" s="199"/>
      <c r="H39" s="199"/>
      <c r="I39" s="199"/>
      <c r="J39" s="199"/>
      <c r="K39" s="199"/>
      <c r="L39" s="199"/>
      <c r="M39" s="199"/>
      <c r="N39" s="199"/>
      <c r="O39" s="199"/>
      <c r="P39" s="199"/>
      <c r="Q39" s="199"/>
      <c r="R39" s="199"/>
      <c r="S39" s="199"/>
      <c r="T39" s="199"/>
      <c r="U39" s="199"/>
      <c r="V39" s="199"/>
      <c r="W39" s="695"/>
    </row>
    <row r="40" spans="1:23" s="411" customFormat="1" x14ac:dyDescent="0.2">
      <c r="A40" s="700"/>
      <c r="B40" s="708" t="s">
        <v>47</v>
      </c>
      <c r="C40" s="199"/>
      <c r="D40" s="199"/>
      <c r="E40" s="199"/>
      <c r="F40" s="199"/>
      <c r="G40" s="744"/>
      <c r="H40" s="199"/>
      <c r="I40" s="199"/>
      <c r="J40" s="199"/>
      <c r="K40" s="199"/>
      <c r="L40" s="199"/>
      <c r="M40" s="199"/>
      <c r="N40" s="199"/>
      <c r="O40" s="199"/>
      <c r="P40" s="199"/>
      <c r="Q40" s="199"/>
      <c r="R40" s="199"/>
      <c r="S40" s="199"/>
      <c r="T40" s="199"/>
      <c r="U40" s="199"/>
      <c r="V40" s="199"/>
      <c r="W40" s="695"/>
    </row>
    <row r="41" spans="1:23" s="411" customFormat="1" x14ac:dyDescent="0.2">
      <c r="A41" s="700"/>
      <c r="B41" s="708" t="s">
        <v>17</v>
      </c>
      <c r="C41" s="199"/>
      <c r="D41" s="199"/>
      <c r="E41" s="199"/>
      <c r="F41" s="199"/>
      <c r="G41" s="199"/>
      <c r="H41" s="199"/>
      <c r="I41" s="199"/>
      <c r="J41" s="199"/>
      <c r="K41" s="199"/>
      <c r="L41" s="199"/>
      <c r="M41" s="199"/>
      <c r="N41" s="199"/>
      <c r="O41" s="199"/>
      <c r="P41" s="199"/>
      <c r="Q41" s="199"/>
      <c r="R41" s="199"/>
      <c r="S41" s="199"/>
      <c r="T41" s="199"/>
      <c r="U41" s="199"/>
      <c r="V41" s="199"/>
      <c r="W41" s="695"/>
    </row>
    <row r="42" spans="1:23" s="953" customFormat="1" x14ac:dyDescent="0.2">
      <c r="A42" s="950"/>
      <c r="B42" s="947" t="s">
        <v>1055</v>
      </c>
      <c r="C42" s="948" t="str">
        <f>IF(ISERROR(C41/C34),"",IF(C41/C34=0,"",ROUND(C41/C34,2)))</f>
        <v/>
      </c>
      <c r="D42" s="948" t="str">
        <f t="shared" ref="D42:P42" si="12">IF(ISERROR(D41/D34),"",IF(D41/D34=0,"",ROUND(D41/D34,2)))</f>
        <v/>
      </c>
      <c r="E42" s="948" t="str">
        <f t="shared" si="12"/>
        <v/>
      </c>
      <c r="F42" s="948" t="str">
        <f t="shared" si="12"/>
        <v/>
      </c>
      <c r="G42" s="948" t="str">
        <f t="shared" si="12"/>
        <v/>
      </c>
      <c r="H42" s="948" t="str">
        <f t="shared" si="12"/>
        <v/>
      </c>
      <c r="I42" s="948" t="str">
        <f t="shared" si="12"/>
        <v/>
      </c>
      <c r="J42" s="948" t="str">
        <f t="shared" si="12"/>
        <v/>
      </c>
      <c r="K42" s="948" t="str">
        <f t="shared" si="12"/>
        <v/>
      </c>
      <c r="L42" s="948" t="str">
        <f t="shared" si="12"/>
        <v/>
      </c>
      <c r="M42" s="948" t="str">
        <f t="shared" si="12"/>
        <v/>
      </c>
      <c r="N42" s="948" t="str">
        <f t="shared" si="12"/>
        <v/>
      </c>
      <c r="O42" s="948" t="str">
        <f t="shared" si="12"/>
        <v/>
      </c>
      <c r="P42" s="948" t="str">
        <f t="shared" si="12"/>
        <v/>
      </c>
      <c r="Q42" s="948" t="str">
        <f t="shared" ref="Q42:V42" si="13">IF(ISERROR(Q41/Q34),"",IF(Q41/Q34=0,"",ROUND(Q41/Q34,2)))</f>
        <v/>
      </c>
      <c r="R42" s="948" t="str">
        <f t="shared" si="13"/>
        <v/>
      </c>
      <c r="S42" s="948" t="str">
        <f t="shared" si="13"/>
        <v/>
      </c>
      <c r="T42" s="948" t="str">
        <f t="shared" si="13"/>
        <v/>
      </c>
      <c r="U42" s="948" t="str">
        <f t="shared" si="13"/>
        <v/>
      </c>
      <c r="V42" s="948" t="str">
        <f t="shared" si="13"/>
        <v/>
      </c>
      <c r="W42" s="952"/>
    </row>
    <row r="43" spans="1:23" s="411" customFormat="1" x14ac:dyDescent="0.2">
      <c r="A43" s="700"/>
      <c r="B43" s="708" t="s">
        <v>49</v>
      </c>
      <c r="C43" s="199"/>
      <c r="D43" s="199"/>
      <c r="E43" s="199"/>
      <c r="F43" s="199"/>
      <c r="G43" s="744"/>
      <c r="H43" s="199"/>
      <c r="I43" s="199"/>
      <c r="J43" s="199"/>
      <c r="K43" s="199"/>
      <c r="L43" s="199"/>
      <c r="M43" s="199"/>
      <c r="N43" s="199"/>
      <c r="O43" s="199"/>
      <c r="P43" s="199"/>
      <c r="Q43" s="199"/>
      <c r="R43" s="199"/>
      <c r="S43" s="199"/>
      <c r="T43" s="199"/>
      <c r="U43" s="199"/>
      <c r="V43" s="199"/>
      <c r="W43" s="695"/>
    </row>
    <row r="44" spans="1:23" s="411" customFormat="1" x14ac:dyDescent="0.2">
      <c r="A44" s="700"/>
      <c r="B44" s="708" t="s">
        <v>50</v>
      </c>
      <c r="C44" s="199"/>
      <c r="D44" s="199"/>
      <c r="E44" s="199"/>
      <c r="F44" s="199"/>
      <c r="G44" s="199"/>
      <c r="H44" s="199"/>
      <c r="I44" s="199"/>
      <c r="J44" s="199"/>
      <c r="K44" s="199"/>
      <c r="L44" s="199"/>
      <c r="M44" s="199"/>
      <c r="N44" s="199"/>
      <c r="O44" s="199"/>
      <c r="P44" s="199"/>
      <c r="Q44" s="199"/>
      <c r="R44" s="199"/>
      <c r="S44" s="199"/>
      <c r="T44" s="199"/>
      <c r="U44" s="199"/>
      <c r="V44" s="199"/>
      <c r="W44" s="695"/>
    </row>
    <row r="45" spans="1:23" s="411" customFormat="1" x14ac:dyDescent="0.2">
      <c r="A45" s="700"/>
      <c r="B45" s="708" t="s">
        <v>19</v>
      </c>
      <c r="C45" s="199"/>
      <c r="D45" s="199"/>
      <c r="E45" s="199"/>
      <c r="F45" s="199"/>
      <c r="G45" s="199"/>
      <c r="H45" s="199"/>
      <c r="I45" s="199"/>
      <c r="J45" s="199"/>
      <c r="K45" s="199"/>
      <c r="L45" s="199"/>
      <c r="M45" s="199"/>
      <c r="N45" s="199"/>
      <c r="O45" s="199"/>
      <c r="P45" s="199"/>
      <c r="Q45" s="199"/>
      <c r="R45" s="199"/>
      <c r="S45" s="199"/>
      <c r="T45" s="199"/>
      <c r="U45" s="199"/>
      <c r="V45" s="199"/>
      <c r="W45" s="695"/>
    </row>
    <row r="46" spans="1:23" s="411" customFormat="1" x14ac:dyDescent="0.2">
      <c r="A46" s="700"/>
      <c r="B46" s="708" t="s">
        <v>20</v>
      </c>
      <c r="C46" s="199"/>
      <c r="D46" s="199"/>
      <c r="E46" s="199"/>
      <c r="F46" s="199"/>
      <c r="G46" s="744"/>
      <c r="H46" s="199"/>
      <c r="I46" s="199"/>
      <c r="J46" s="199"/>
      <c r="K46" s="199"/>
      <c r="L46" s="199"/>
      <c r="M46" s="199"/>
      <c r="N46" s="199"/>
      <c r="O46" s="199"/>
      <c r="P46" s="199"/>
      <c r="Q46" s="199"/>
      <c r="R46" s="199"/>
      <c r="S46" s="199"/>
      <c r="T46" s="199"/>
      <c r="U46" s="199"/>
      <c r="V46" s="199"/>
      <c r="W46" s="695"/>
    </row>
    <row r="47" spans="1:23" s="411" customFormat="1" x14ac:dyDescent="0.2">
      <c r="A47" s="700"/>
      <c r="B47" s="708" t="s">
        <v>51</v>
      </c>
      <c r="C47" s="199"/>
      <c r="D47" s="199"/>
      <c r="E47" s="199"/>
      <c r="F47" s="199"/>
      <c r="G47" s="199"/>
      <c r="H47" s="199"/>
      <c r="I47" s="199"/>
      <c r="J47" s="199"/>
      <c r="K47" s="199"/>
      <c r="L47" s="199"/>
      <c r="M47" s="199"/>
      <c r="N47" s="199"/>
      <c r="O47" s="199"/>
      <c r="P47" s="199"/>
      <c r="Q47" s="199"/>
      <c r="R47" s="199"/>
      <c r="S47" s="199"/>
      <c r="T47" s="199"/>
      <c r="U47" s="199"/>
      <c r="V47" s="199"/>
      <c r="W47" s="695"/>
    </row>
    <row r="48" spans="1:23" s="411" customFormat="1" x14ac:dyDescent="0.2">
      <c r="A48" s="700"/>
      <c r="B48" s="708" t="s">
        <v>323</v>
      </c>
      <c r="C48" s="199"/>
      <c r="D48" s="199"/>
      <c r="E48" s="199"/>
      <c r="F48" s="199"/>
      <c r="G48" s="199"/>
      <c r="H48" s="199"/>
      <c r="I48" s="199"/>
      <c r="J48" s="199"/>
      <c r="K48" s="199"/>
      <c r="L48" s="199"/>
      <c r="M48" s="199"/>
      <c r="N48" s="199"/>
      <c r="O48" s="199"/>
      <c r="P48" s="199"/>
      <c r="Q48" s="199"/>
      <c r="R48" s="199"/>
      <c r="S48" s="199"/>
      <c r="T48" s="199"/>
      <c r="U48" s="199"/>
      <c r="V48" s="199"/>
      <c r="W48" s="695"/>
    </row>
    <row r="49" spans="1:23" s="411" customFormat="1" x14ac:dyDescent="0.2">
      <c r="A49" s="700"/>
      <c r="B49" s="708" t="s">
        <v>22</v>
      </c>
      <c r="C49" s="199"/>
      <c r="D49" s="199"/>
      <c r="E49" s="199"/>
      <c r="F49" s="199"/>
      <c r="G49" s="744"/>
      <c r="H49" s="199"/>
      <c r="I49" s="199"/>
      <c r="J49" s="199"/>
      <c r="K49" s="199"/>
      <c r="L49" s="199"/>
      <c r="M49" s="199"/>
      <c r="N49" s="199"/>
      <c r="O49" s="199"/>
      <c r="P49" s="199"/>
      <c r="Q49" s="199"/>
      <c r="R49" s="199"/>
      <c r="S49" s="199"/>
      <c r="T49" s="199"/>
      <c r="U49" s="199"/>
      <c r="V49" s="199"/>
      <c r="W49" s="695"/>
    </row>
    <row r="50" spans="1:23" s="411" customFormat="1" x14ac:dyDescent="0.2">
      <c r="A50" s="700"/>
      <c r="B50" s="708" t="s">
        <v>891</v>
      </c>
      <c r="C50" s="199"/>
      <c r="D50" s="199"/>
      <c r="E50" s="199"/>
      <c r="F50" s="199"/>
      <c r="G50" s="199"/>
      <c r="H50" s="199"/>
      <c r="I50" s="199"/>
      <c r="J50" s="199"/>
      <c r="K50" s="199"/>
      <c r="L50" s="199"/>
      <c r="M50" s="199"/>
      <c r="N50" s="199"/>
      <c r="O50" s="199"/>
      <c r="P50" s="199"/>
      <c r="Q50" s="199"/>
      <c r="R50" s="199"/>
      <c r="S50" s="199"/>
      <c r="T50" s="199"/>
      <c r="U50" s="199"/>
      <c r="V50" s="199"/>
      <c r="W50" s="695"/>
    </row>
    <row r="51" spans="1:23" s="411" customFormat="1" x14ac:dyDescent="0.2">
      <c r="A51" s="700"/>
      <c r="B51" s="709" t="s">
        <v>1048</v>
      </c>
      <c r="C51" s="745"/>
      <c r="D51" s="745"/>
      <c r="E51" s="745"/>
      <c r="F51" s="745"/>
      <c r="G51" s="199"/>
      <c r="H51" s="745"/>
      <c r="I51" s="745"/>
      <c r="J51" s="745"/>
      <c r="K51" s="745"/>
      <c r="L51" s="745"/>
      <c r="M51" s="745"/>
      <c r="N51" s="745"/>
      <c r="O51" s="745"/>
      <c r="P51" s="745"/>
      <c r="Q51" s="745"/>
      <c r="R51" s="745"/>
      <c r="S51" s="745"/>
      <c r="T51" s="745"/>
      <c r="U51" s="745"/>
      <c r="V51" s="745"/>
      <c r="W51" s="695"/>
    </row>
    <row r="52" spans="1:23" s="411" customFormat="1" ht="15.75" customHeight="1" x14ac:dyDescent="0.2">
      <c r="A52" s="751" t="s">
        <v>910</v>
      </c>
      <c r="B52" s="752" t="s">
        <v>914</v>
      </c>
      <c r="C52" s="746"/>
      <c r="D52" s="746"/>
      <c r="E52" s="746"/>
      <c r="F52" s="746"/>
      <c r="G52" s="746"/>
      <c r="H52" s="746"/>
      <c r="I52" s="746"/>
      <c r="J52" s="746"/>
      <c r="K52" s="746"/>
      <c r="L52" s="746"/>
      <c r="M52" s="746"/>
      <c r="N52" s="746"/>
      <c r="O52" s="746"/>
      <c r="P52" s="747"/>
      <c r="Q52" s="747"/>
      <c r="R52" s="747"/>
      <c r="S52" s="747"/>
      <c r="T52" s="747"/>
      <c r="U52" s="747"/>
      <c r="V52" s="747"/>
      <c r="W52" s="695"/>
    </row>
    <row r="53" spans="1:23" s="411" customFormat="1" x14ac:dyDescent="0.2">
      <c r="A53" s="749"/>
      <c r="B53" s="750"/>
      <c r="C53" s="1010">
        <f>C24</f>
        <v>2020</v>
      </c>
      <c r="D53" s="1010">
        <f t="shared" ref="D53:P53" si="14">D24</f>
        <v>2021</v>
      </c>
      <c r="E53" s="1010">
        <f t="shared" si="14"/>
        <v>2022</v>
      </c>
      <c r="F53" s="1010">
        <f t="shared" si="14"/>
        <v>2023</v>
      </c>
      <c r="G53" s="1010">
        <f t="shared" si="14"/>
        <v>2024</v>
      </c>
      <c r="H53" s="1010">
        <f t="shared" si="14"/>
        <v>2025</v>
      </c>
      <c r="I53" s="1010">
        <f t="shared" si="14"/>
        <v>2026</v>
      </c>
      <c r="J53" s="1010">
        <f t="shared" si="14"/>
        <v>2027</v>
      </c>
      <c r="K53" s="1010">
        <f t="shared" si="14"/>
        <v>2028</v>
      </c>
      <c r="L53" s="1010">
        <f t="shared" si="14"/>
        <v>2029</v>
      </c>
      <c r="M53" s="1010">
        <f t="shared" si="14"/>
        <v>2030</v>
      </c>
      <c r="N53" s="1010">
        <f t="shared" si="14"/>
        <v>2031</v>
      </c>
      <c r="O53" s="1010">
        <f t="shared" si="14"/>
        <v>2032</v>
      </c>
      <c r="P53" s="1010">
        <f t="shared" si="14"/>
        <v>2033</v>
      </c>
      <c r="Q53" s="1010">
        <f t="shared" ref="Q53:V53" si="15">Q24</f>
        <v>2034</v>
      </c>
      <c r="R53" s="1010">
        <f t="shared" si="15"/>
        <v>2035</v>
      </c>
      <c r="S53" s="1010">
        <f t="shared" si="15"/>
        <v>2036</v>
      </c>
      <c r="T53" s="1010">
        <f t="shared" si="15"/>
        <v>2037</v>
      </c>
      <c r="U53" s="1010">
        <f t="shared" si="15"/>
        <v>2038</v>
      </c>
      <c r="V53" s="1010">
        <f t="shared" si="15"/>
        <v>2039</v>
      </c>
      <c r="W53" s="695"/>
    </row>
    <row r="54" spans="1:23" s="411" customFormat="1" x14ac:dyDescent="0.2">
      <c r="A54" s="700"/>
      <c r="B54" s="710" t="s">
        <v>896</v>
      </c>
      <c r="C54" s="744"/>
      <c r="D54" s="744"/>
      <c r="E54" s="744"/>
      <c r="F54" s="744"/>
      <c r="G54" s="744"/>
      <c r="H54" s="744"/>
      <c r="I54" s="744"/>
      <c r="J54" s="744"/>
      <c r="K54" s="744"/>
      <c r="L54" s="744"/>
      <c r="M54" s="744"/>
      <c r="N54" s="744"/>
      <c r="O54" s="744"/>
      <c r="P54" s="744"/>
      <c r="Q54" s="744"/>
      <c r="R54" s="744"/>
      <c r="S54" s="744"/>
      <c r="T54" s="744"/>
      <c r="U54" s="744"/>
      <c r="V54" s="744"/>
      <c r="W54" s="695"/>
    </row>
    <row r="55" spans="1:23" s="411" customFormat="1" x14ac:dyDescent="0.2">
      <c r="A55" s="700"/>
      <c r="B55" s="711" t="s">
        <v>418</v>
      </c>
      <c r="C55" s="199"/>
      <c r="D55" s="199"/>
      <c r="E55" s="199"/>
      <c r="F55" s="199"/>
      <c r="G55" s="744"/>
      <c r="H55" s="199"/>
      <c r="I55" s="199"/>
      <c r="J55" s="199"/>
      <c r="K55" s="199"/>
      <c r="L55" s="199"/>
      <c r="M55" s="199"/>
      <c r="N55" s="199"/>
      <c r="O55" s="199"/>
      <c r="P55" s="199"/>
      <c r="Q55" s="199"/>
      <c r="R55" s="199"/>
      <c r="S55" s="199"/>
      <c r="T55" s="199"/>
      <c r="U55" s="199"/>
      <c r="V55" s="199"/>
      <c r="W55" s="695"/>
    </row>
    <row r="56" spans="1:23" s="411" customFormat="1" x14ac:dyDescent="0.2">
      <c r="A56" s="700"/>
      <c r="B56" s="710" t="s">
        <v>897</v>
      </c>
      <c r="C56" s="199"/>
      <c r="D56" s="199"/>
      <c r="E56" s="199"/>
      <c r="F56" s="199"/>
      <c r="G56" s="744"/>
      <c r="H56" s="199"/>
      <c r="I56" s="199"/>
      <c r="J56" s="199"/>
      <c r="K56" s="199"/>
      <c r="L56" s="199"/>
      <c r="M56" s="199"/>
      <c r="N56" s="199"/>
      <c r="O56" s="199"/>
      <c r="P56" s="199"/>
      <c r="Q56" s="199"/>
      <c r="R56" s="199"/>
      <c r="S56" s="199"/>
      <c r="T56" s="199"/>
      <c r="U56" s="199"/>
      <c r="V56" s="199"/>
      <c r="W56" s="695"/>
    </row>
    <row r="57" spans="1:23" s="953" customFormat="1" x14ac:dyDescent="0.2">
      <c r="A57" s="950"/>
      <c r="B57" s="954" t="s">
        <v>898</v>
      </c>
      <c r="C57" s="948" t="str">
        <f>IF(ISERROR(C39/C26*100),"",IF(C39/C26*100=0,"",ROUND(C39/C26*100,2)))</f>
        <v/>
      </c>
      <c r="D57" s="948" t="str">
        <f t="shared" ref="D57:P57" si="16">IF(ISERROR(D39/D26*100),"",IF(D39/D26*100=0,"",ROUND(D39/D26*100,2)))</f>
        <v/>
      </c>
      <c r="E57" s="948" t="str">
        <f t="shared" si="16"/>
        <v/>
      </c>
      <c r="F57" s="948" t="str">
        <f t="shared" si="16"/>
        <v/>
      </c>
      <c r="G57" s="948" t="str">
        <f t="shared" si="16"/>
        <v/>
      </c>
      <c r="H57" s="948" t="str">
        <f t="shared" si="16"/>
        <v/>
      </c>
      <c r="I57" s="948" t="str">
        <f t="shared" si="16"/>
        <v/>
      </c>
      <c r="J57" s="948" t="str">
        <f t="shared" si="16"/>
        <v/>
      </c>
      <c r="K57" s="948" t="str">
        <f t="shared" si="16"/>
        <v/>
      </c>
      <c r="L57" s="948" t="str">
        <f t="shared" si="16"/>
        <v/>
      </c>
      <c r="M57" s="948" t="str">
        <f t="shared" si="16"/>
        <v/>
      </c>
      <c r="N57" s="948" t="str">
        <f t="shared" si="16"/>
        <v/>
      </c>
      <c r="O57" s="948" t="str">
        <f t="shared" si="16"/>
        <v/>
      </c>
      <c r="P57" s="948" t="str">
        <f t="shared" si="16"/>
        <v/>
      </c>
      <c r="Q57" s="948" t="str">
        <f t="shared" ref="Q57:V57" si="17">IF(ISERROR(Q39/Q26*100),"",IF(Q39/Q26*100=0,"",ROUND(Q39/Q26*100,2)))</f>
        <v/>
      </c>
      <c r="R57" s="948" t="str">
        <f t="shared" si="17"/>
        <v/>
      </c>
      <c r="S57" s="948" t="str">
        <f t="shared" si="17"/>
        <v/>
      </c>
      <c r="T57" s="948" t="str">
        <f t="shared" si="17"/>
        <v/>
      </c>
      <c r="U57" s="948" t="str">
        <f t="shared" si="17"/>
        <v/>
      </c>
      <c r="V57" s="948" t="str">
        <f t="shared" si="17"/>
        <v/>
      </c>
      <c r="W57" s="952"/>
    </row>
    <row r="58" spans="1:23" s="411" customFormat="1" x14ac:dyDescent="0.2">
      <c r="A58" s="700"/>
      <c r="B58" s="711" t="s">
        <v>899</v>
      </c>
      <c r="C58" s="199"/>
      <c r="D58" s="199"/>
      <c r="E58" s="199"/>
      <c r="F58" s="199"/>
      <c r="G58" s="744"/>
      <c r="H58" s="199"/>
      <c r="I58" s="199"/>
      <c r="J58" s="199"/>
      <c r="K58" s="199"/>
      <c r="L58" s="199"/>
      <c r="M58" s="199"/>
      <c r="N58" s="199"/>
      <c r="O58" s="199"/>
      <c r="P58" s="199"/>
      <c r="Q58" s="199"/>
      <c r="R58" s="199"/>
      <c r="S58" s="199"/>
      <c r="T58" s="199"/>
      <c r="U58" s="199"/>
      <c r="V58" s="199"/>
      <c r="W58" s="695"/>
    </row>
    <row r="59" spans="1:23" s="953" customFormat="1" x14ac:dyDescent="0.2">
      <c r="A59" s="950"/>
      <c r="B59" s="954" t="s">
        <v>900</v>
      </c>
      <c r="C59" s="948" t="str">
        <f>IF(ISERROR(C58/C54*100),"",IF(C58/C54*100=0,"",ROUND(C58/C54*100,2)))</f>
        <v/>
      </c>
      <c r="D59" s="948" t="str">
        <f t="shared" ref="D59:P59" si="18">IF(ISERROR(D58/D54*100),"",IF(D58/D54*100=0,"",ROUND(D58/D54*100,2)))</f>
        <v/>
      </c>
      <c r="E59" s="948" t="str">
        <f t="shared" si="18"/>
        <v/>
      </c>
      <c r="F59" s="948" t="str">
        <f t="shared" si="18"/>
        <v/>
      </c>
      <c r="G59" s="948" t="str">
        <f t="shared" si="18"/>
        <v/>
      </c>
      <c r="H59" s="948" t="str">
        <f t="shared" si="18"/>
        <v/>
      </c>
      <c r="I59" s="948" t="str">
        <f t="shared" si="18"/>
        <v/>
      </c>
      <c r="J59" s="948" t="str">
        <f t="shared" si="18"/>
        <v/>
      </c>
      <c r="K59" s="948" t="str">
        <f t="shared" si="18"/>
        <v/>
      </c>
      <c r="L59" s="948" t="str">
        <f t="shared" si="18"/>
        <v/>
      </c>
      <c r="M59" s="948" t="str">
        <f t="shared" si="18"/>
        <v/>
      </c>
      <c r="N59" s="948" t="str">
        <f t="shared" si="18"/>
        <v/>
      </c>
      <c r="O59" s="948" t="str">
        <f t="shared" si="18"/>
        <v/>
      </c>
      <c r="P59" s="948" t="str">
        <f t="shared" si="18"/>
        <v/>
      </c>
      <c r="Q59" s="948" t="str">
        <f t="shared" ref="Q59:V59" si="19">IF(ISERROR(Q58/Q54*100),"",IF(Q58/Q54*100=0,"",ROUND(Q58/Q54*100,2)))</f>
        <v/>
      </c>
      <c r="R59" s="948" t="str">
        <f t="shared" si="19"/>
        <v/>
      </c>
      <c r="S59" s="948" t="str">
        <f t="shared" si="19"/>
        <v/>
      </c>
      <c r="T59" s="948" t="str">
        <f t="shared" si="19"/>
        <v/>
      </c>
      <c r="U59" s="948" t="str">
        <f t="shared" si="19"/>
        <v/>
      </c>
      <c r="V59" s="948" t="str">
        <f t="shared" si="19"/>
        <v/>
      </c>
      <c r="W59" s="952"/>
    </row>
    <row r="60" spans="1:23" s="411" customFormat="1" x14ac:dyDescent="0.2">
      <c r="A60" s="700"/>
      <c r="B60" s="711" t="s">
        <v>901</v>
      </c>
      <c r="C60" s="744"/>
      <c r="D60" s="744"/>
      <c r="E60" s="744"/>
      <c r="F60" s="744"/>
      <c r="G60" s="744"/>
      <c r="H60" s="744"/>
      <c r="I60" s="744"/>
      <c r="J60" s="744"/>
      <c r="K60" s="744"/>
      <c r="L60" s="744"/>
      <c r="M60" s="744"/>
      <c r="N60" s="744"/>
      <c r="O60" s="744"/>
      <c r="P60" s="744"/>
      <c r="Q60" s="744"/>
      <c r="R60" s="744"/>
      <c r="S60" s="744"/>
      <c r="T60" s="744"/>
      <c r="U60" s="744"/>
      <c r="V60" s="744"/>
      <c r="W60" s="695"/>
    </row>
    <row r="61" spans="1:23" s="959" customFormat="1" x14ac:dyDescent="0.2">
      <c r="A61" s="955"/>
      <c r="B61" s="956" t="s">
        <v>1054</v>
      </c>
      <c r="C61" s="957" t="str">
        <f>IF(ISERROR(C60/C56*100),"",IF(C60/C56*100=0,"",ROUND(C60/C56*100,2)))</f>
        <v/>
      </c>
      <c r="D61" s="957" t="str">
        <f>IF(ISERROR(D60/D56*100),"",IF(D60/D56*100=0,"",ROUND(D60/D56*100,2)))</f>
        <v/>
      </c>
      <c r="E61" s="957" t="str">
        <f>IF(ISERROR(E60/E56*100),"",IF(E60/E56*100=0,"",ROUND(E60/E56*100,2)))</f>
        <v/>
      </c>
      <c r="F61" s="957" t="str">
        <f>IF(ISERROR(F60/F56*100),"",IF(F60/F56*100=0,"",ROUND(F60/F56*100,2)))</f>
        <v/>
      </c>
      <c r="G61" s="957" t="str">
        <f>IF(ISERROR(G60/G56*100),"",IF(G60/G56*100=0,"",ROUND(G60/G56*100,2)))</f>
        <v/>
      </c>
      <c r="H61" s="957" t="str">
        <f t="shared" ref="H61:P61" si="20">IF(ISERROR(H60/H56*100),"",IF(H60/H56*100=0,"",ROUND(H60/H56*100,2)))</f>
        <v/>
      </c>
      <c r="I61" s="957" t="str">
        <f t="shared" si="20"/>
        <v/>
      </c>
      <c r="J61" s="957" t="str">
        <f t="shared" si="20"/>
        <v/>
      </c>
      <c r="K61" s="957" t="str">
        <f t="shared" si="20"/>
        <v/>
      </c>
      <c r="L61" s="957" t="str">
        <f t="shared" si="20"/>
        <v/>
      </c>
      <c r="M61" s="957" t="str">
        <f t="shared" si="20"/>
        <v/>
      </c>
      <c r="N61" s="957" t="str">
        <f t="shared" si="20"/>
        <v/>
      </c>
      <c r="O61" s="957" t="str">
        <f t="shared" si="20"/>
        <v/>
      </c>
      <c r="P61" s="957" t="str">
        <f t="shared" si="20"/>
        <v/>
      </c>
      <c r="Q61" s="957" t="str">
        <f t="shared" ref="Q61:V61" si="21">IF(ISERROR(Q60/Q56*100),"",IF(Q60/Q56*100=0,"",ROUND(Q60/Q56*100,2)))</f>
        <v/>
      </c>
      <c r="R61" s="957" t="str">
        <f t="shared" si="21"/>
        <v/>
      </c>
      <c r="S61" s="957" t="str">
        <f t="shared" si="21"/>
        <v/>
      </c>
      <c r="T61" s="957" t="str">
        <f t="shared" si="21"/>
        <v/>
      </c>
      <c r="U61" s="957" t="str">
        <f t="shared" si="21"/>
        <v/>
      </c>
      <c r="V61" s="957" t="str">
        <f t="shared" si="21"/>
        <v/>
      </c>
      <c r="W61" s="958"/>
    </row>
    <row r="62" spans="1:23" s="953" customFormat="1" x14ac:dyDescent="0.2">
      <c r="A62" s="950"/>
      <c r="B62" s="954" t="s">
        <v>1056</v>
      </c>
      <c r="C62" s="948" t="str">
        <f>C42</f>
        <v/>
      </c>
      <c r="D62" s="948" t="str">
        <f t="shared" ref="D62:P62" si="22">D42</f>
        <v/>
      </c>
      <c r="E62" s="948" t="str">
        <f t="shared" si="22"/>
        <v/>
      </c>
      <c r="F62" s="948" t="str">
        <f t="shared" si="22"/>
        <v/>
      </c>
      <c r="G62" s="948" t="str">
        <f t="shared" si="22"/>
        <v/>
      </c>
      <c r="H62" s="948" t="str">
        <f t="shared" si="22"/>
        <v/>
      </c>
      <c r="I62" s="948" t="str">
        <f t="shared" si="22"/>
        <v/>
      </c>
      <c r="J62" s="948" t="str">
        <f t="shared" si="22"/>
        <v/>
      </c>
      <c r="K62" s="948" t="str">
        <f t="shared" si="22"/>
        <v/>
      </c>
      <c r="L62" s="948" t="str">
        <f t="shared" si="22"/>
        <v/>
      </c>
      <c r="M62" s="948" t="str">
        <f t="shared" si="22"/>
        <v/>
      </c>
      <c r="N62" s="948" t="str">
        <f t="shared" si="22"/>
        <v/>
      </c>
      <c r="O62" s="948" t="str">
        <f t="shared" si="22"/>
        <v/>
      </c>
      <c r="P62" s="948" t="str">
        <f t="shared" si="22"/>
        <v/>
      </c>
      <c r="Q62" s="948" t="str">
        <f t="shared" ref="Q62:V62" si="23">Q42</f>
        <v/>
      </c>
      <c r="R62" s="948" t="str">
        <f t="shared" si="23"/>
        <v/>
      </c>
      <c r="S62" s="948" t="str">
        <f t="shared" si="23"/>
        <v/>
      </c>
      <c r="T62" s="948" t="str">
        <f t="shared" si="23"/>
        <v/>
      </c>
      <c r="U62" s="948" t="str">
        <f t="shared" si="23"/>
        <v/>
      </c>
      <c r="V62" s="948" t="str">
        <f t="shared" si="23"/>
        <v/>
      </c>
      <c r="W62" s="952"/>
    </row>
    <row r="63" spans="1:23" s="411" customFormat="1" x14ac:dyDescent="0.2">
      <c r="A63" s="700"/>
      <c r="B63" s="711" t="s">
        <v>27</v>
      </c>
      <c r="C63" s="199"/>
      <c r="D63" s="199"/>
      <c r="E63" s="199"/>
      <c r="F63" s="199"/>
      <c r="G63" s="744"/>
      <c r="H63" s="199"/>
      <c r="I63" s="199"/>
      <c r="J63" s="199"/>
      <c r="K63" s="199"/>
      <c r="L63" s="199"/>
      <c r="M63" s="199"/>
      <c r="N63" s="199"/>
      <c r="O63" s="199"/>
      <c r="P63" s="199"/>
      <c r="Q63" s="199"/>
      <c r="R63" s="199"/>
      <c r="S63" s="199"/>
      <c r="T63" s="199"/>
      <c r="U63" s="199"/>
      <c r="V63" s="199"/>
      <c r="W63" s="695"/>
    </row>
    <row r="64" spans="1:23" s="411" customFormat="1" ht="25.5" x14ac:dyDescent="0.2">
      <c r="A64" s="700"/>
      <c r="B64" s="711" t="s">
        <v>397</v>
      </c>
      <c r="C64" s="745"/>
      <c r="D64" s="745"/>
      <c r="E64" s="745"/>
      <c r="F64" s="745"/>
      <c r="G64" s="744"/>
      <c r="H64" s="745"/>
      <c r="I64" s="745"/>
      <c r="J64" s="745"/>
      <c r="K64" s="745"/>
      <c r="L64" s="745"/>
      <c r="M64" s="745"/>
      <c r="N64" s="745"/>
      <c r="O64" s="745"/>
      <c r="P64" s="745"/>
      <c r="Q64" s="745"/>
      <c r="R64" s="745"/>
      <c r="S64" s="745"/>
      <c r="T64" s="745"/>
      <c r="U64" s="745"/>
      <c r="V64" s="745"/>
      <c r="W64" s="695"/>
    </row>
    <row r="65" spans="1:23" s="411" customFormat="1" ht="15" customHeight="1" x14ac:dyDescent="0.2">
      <c r="A65" s="751" t="s">
        <v>911</v>
      </c>
      <c r="B65" s="752" t="s">
        <v>915</v>
      </c>
      <c r="C65" s="746"/>
      <c r="D65" s="746"/>
      <c r="E65" s="746"/>
      <c r="F65" s="746"/>
      <c r="G65" s="746"/>
      <c r="H65" s="746"/>
      <c r="I65" s="746"/>
      <c r="J65" s="746"/>
      <c r="K65" s="746"/>
      <c r="L65" s="746"/>
      <c r="M65" s="746"/>
      <c r="N65" s="746"/>
      <c r="O65" s="746"/>
      <c r="P65" s="747"/>
      <c r="Q65" s="747"/>
      <c r="R65" s="747"/>
      <c r="S65" s="747"/>
      <c r="T65" s="747"/>
      <c r="U65" s="747"/>
      <c r="V65" s="747"/>
      <c r="W65" s="695"/>
    </row>
    <row r="66" spans="1:23" s="411" customFormat="1" ht="10.5" customHeight="1" x14ac:dyDescent="0.2">
      <c r="A66" s="754"/>
      <c r="B66" s="750"/>
      <c r="C66" s="1010">
        <f>C24</f>
        <v>2020</v>
      </c>
      <c r="D66" s="1010">
        <f t="shared" ref="D66:P66" si="24">D24</f>
        <v>2021</v>
      </c>
      <c r="E66" s="1010">
        <f t="shared" si="24"/>
        <v>2022</v>
      </c>
      <c r="F66" s="1010">
        <f t="shared" si="24"/>
        <v>2023</v>
      </c>
      <c r="G66" s="1010">
        <f t="shared" si="24"/>
        <v>2024</v>
      </c>
      <c r="H66" s="1010">
        <f t="shared" si="24"/>
        <v>2025</v>
      </c>
      <c r="I66" s="1010">
        <f t="shared" si="24"/>
        <v>2026</v>
      </c>
      <c r="J66" s="1010">
        <f t="shared" si="24"/>
        <v>2027</v>
      </c>
      <c r="K66" s="1010">
        <f t="shared" si="24"/>
        <v>2028</v>
      </c>
      <c r="L66" s="1010">
        <f t="shared" si="24"/>
        <v>2029</v>
      </c>
      <c r="M66" s="1010">
        <f t="shared" si="24"/>
        <v>2030</v>
      </c>
      <c r="N66" s="1010">
        <f t="shared" si="24"/>
        <v>2031</v>
      </c>
      <c r="O66" s="1010">
        <f t="shared" si="24"/>
        <v>2032</v>
      </c>
      <c r="P66" s="1010">
        <f t="shared" si="24"/>
        <v>2033</v>
      </c>
      <c r="Q66" s="1010">
        <f t="shared" ref="Q66:V66" si="25">Q24</f>
        <v>2034</v>
      </c>
      <c r="R66" s="1010">
        <f t="shared" si="25"/>
        <v>2035</v>
      </c>
      <c r="S66" s="1010">
        <f t="shared" si="25"/>
        <v>2036</v>
      </c>
      <c r="T66" s="1010">
        <f t="shared" si="25"/>
        <v>2037</v>
      </c>
      <c r="U66" s="1010">
        <f t="shared" si="25"/>
        <v>2038</v>
      </c>
      <c r="V66" s="1010">
        <f t="shared" si="25"/>
        <v>2039</v>
      </c>
      <c r="W66" s="695"/>
    </row>
    <row r="67" spans="1:23" s="411" customFormat="1" ht="14.25" hidden="1" x14ac:dyDescent="0.2">
      <c r="A67" s="700"/>
      <c r="B67" s="640" t="s">
        <v>396</v>
      </c>
      <c r="C67" s="753" t="str">
        <f>IF(C26="","",C26)</f>
        <v/>
      </c>
      <c r="D67" s="753" t="str">
        <f t="shared" ref="D67:P67" si="26">IF(D26="","",D26)</f>
        <v/>
      </c>
      <c r="E67" s="753" t="str">
        <f t="shared" si="26"/>
        <v/>
      </c>
      <c r="F67" s="753" t="str">
        <f t="shared" si="26"/>
        <v/>
      </c>
      <c r="G67" s="753" t="str">
        <f t="shared" si="26"/>
        <v/>
      </c>
      <c r="H67" s="753" t="str">
        <f t="shared" si="26"/>
        <v/>
      </c>
      <c r="I67" s="753" t="str">
        <f t="shared" si="26"/>
        <v/>
      </c>
      <c r="J67" s="753" t="str">
        <f t="shared" si="26"/>
        <v/>
      </c>
      <c r="K67" s="753" t="str">
        <f t="shared" si="26"/>
        <v/>
      </c>
      <c r="L67" s="753" t="str">
        <f t="shared" si="26"/>
        <v/>
      </c>
      <c r="M67" s="753" t="str">
        <f t="shared" si="26"/>
        <v/>
      </c>
      <c r="N67" s="753" t="str">
        <f t="shared" si="26"/>
        <v/>
      </c>
      <c r="O67" s="753" t="str">
        <f t="shared" si="26"/>
        <v/>
      </c>
      <c r="P67" s="753" t="str">
        <f t="shared" si="26"/>
        <v/>
      </c>
      <c r="Q67" s="753" t="str">
        <f t="shared" ref="Q67:V67" si="27">IF(Q26="","",Q26)</f>
        <v/>
      </c>
      <c r="R67" s="753" t="str">
        <f t="shared" si="27"/>
        <v/>
      </c>
      <c r="S67" s="753" t="str">
        <f t="shared" si="27"/>
        <v/>
      </c>
      <c r="T67" s="753" t="str">
        <f t="shared" si="27"/>
        <v/>
      </c>
      <c r="U67" s="753" t="str">
        <f t="shared" si="27"/>
        <v/>
      </c>
      <c r="V67" s="753" t="str">
        <f t="shared" si="27"/>
        <v/>
      </c>
      <c r="W67" s="695"/>
    </row>
    <row r="68" spans="1:23" s="411" customFormat="1" ht="28.5" hidden="1" x14ac:dyDescent="0.2">
      <c r="A68" s="700"/>
      <c r="B68" s="712" t="s">
        <v>397</v>
      </c>
      <c r="C68" s="409" t="str">
        <f>IF(C64="","",C64)</f>
        <v/>
      </c>
      <c r="D68" s="409" t="str">
        <f t="shared" ref="D68:P68" si="28">IF(D64="","",D64)</f>
        <v/>
      </c>
      <c r="E68" s="409" t="str">
        <f t="shared" si="28"/>
        <v/>
      </c>
      <c r="F68" s="409" t="str">
        <f t="shared" si="28"/>
        <v/>
      </c>
      <c r="G68" s="409" t="str">
        <f t="shared" si="28"/>
        <v/>
      </c>
      <c r="H68" s="409" t="str">
        <f t="shared" si="28"/>
        <v/>
      </c>
      <c r="I68" s="409" t="str">
        <f t="shared" si="28"/>
        <v/>
      </c>
      <c r="J68" s="409" t="str">
        <f t="shared" si="28"/>
        <v/>
      </c>
      <c r="K68" s="409" t="str">
        <f t="shared" si="28"/>
        <v/>
      </c>
      <c r="L68" s="409" t="str">
        <f t="shared" si="28"/>
        <v/>
      </c>
      <c r="M68" s="409" t="str">
        <f t="shared" si="28"/>
        <v/>
      </c>
      <c r="N68" s="409" t="str">
        <f t="shared" si="28"/>
        <v/>
      </c>
      <c r="O68" s="409" t="str">
        <f t="shared" si="28"/>
        <v/>
      </c>
      <c r="P68" s="409" t="str">
        <f t="shared" si="28"/>
        <v/>
      </c>
      <c r="Q68" s="409" t="str">
        <f t="shared" ref="Q68:V68" si="29">IF(Q64="","",Q64)</f>
        <v/>
      </c>
      <c r="R68" s="409" t="str">
        <f t="shared" si="29"/>
        <v/>
      </c>
      <c r="S68" s="409" t="str">
        <f t="shared" si="29"/>
        <v/>
      </c>
      <c r="T68" s="409" t="str">
        <f t="shared" si="29"/>
        <v/>
      </c>
      <c r="U68" s="409" t="str">
        <f t="shared" si="29"/>
        <v/>
      </c>
      <c r="V68" s="409" t="str">
        <f t="shared" si="29"/>
        <v/>
      </c>
      <c r="W68" s="695"/>
    </row>
    <row r="69" spans="1:23" s="411" customFormat="1" ht="14.25" x14ac:dyDescent="0.2">
      <c r="A69" s="700"/>
      <c r="B69" s="640" t="s">
        <v>398</v>
      </c>
      <c r="C69" s="199"/>
      <c r="D69" s="199"/>
      <c r="E69" s="199"/>
      <c r="F69" s="199"/>
      <c r="G69" s="199"/>
      <c r="H69" s="199"/>
      <c r="I69" s="199"/>
      <c r="J69" s="199"/>
      <c r="K69" s="199"/>
      <c r="L69" s="199"/>
      <c r="M69" s="199"/>
      <c r="N69" s="199"/>
      <c r="O69" s="199"/>
      <c r="P69" s="199"/>
      <c r="Q69" s="199"/>
      <c r="R69" s="199"/>
      <c r="S69" s="199"/>
      <c r="T69" s="199"/>
      <c r="U69" s="199"/>
      <c r="V69" s="199"/>
      <c r="W69" s="695"/>
    </row>
    <row r="70" spans="1:23" s="411" customFormat="1" ht="14.25" x14ac:dyDescent="0.2">
      <c r="A70" s="700"/>
      <c r="B70" s="640" t="s">
        <v>399</v>
      </c>
      <c r="C70" s="199"/>
      <c r="D70" s="199"/>
      <c r="E70" s="199"/>
      <c r="F70" s="199"/>
      <c r="G70" s="199"/>
      <c r="H70" s="199"/>
      <c r="I70" s="199"/>
      <c r="J70" s="199"/>
      <c r="K70" s="199"/>
      <c r="L70" s="199"/>
      <c r="M70" s="199"/>
      <c r="N70" s="199"/>
      <c r="O70" s="199"/>
      <c r="P70" s="199"/>
      <c r="Q70" s="199"/>
      <c r="R70" s="199"/>
      <c r="S70" s="199"/>
      <c r="T70" s="199"/>
      <c r="U70" s="199"/>
      <c r="V70" s="199"/>
      <c r="W70" s="695"/>
    </row>
    <row r="71" spans="1:23" s="411" customFormat="1" ht="14.25" x14ac:dyDescent="0.2">
      <c r="A71" s="700"/>
      <c r="B71" s="640" t="s">
        <v>400</v>
      </c>
      <c r="C71" s="199"/>
      <c r="D71" s="199"/>
      <c r="E71" s="199"/>
      <c r="F71" s="199"/>
      <c r="G71" s="199"/>
      <c r="H71" s="199"/>
      <c r="I71" s="199"/>
      <c r="J71" s="199"/>
      <c r="K71" s="199"/>
      <c r="L71" s="199"/>
      <c r="M71" s="199"/>
      <c r="N71" s="199"/>
      <c r="O71" s="199"/>
      <c r="P71" s="199"/>
      <c r="Q71" s="199"/>
      <c r="R71" s="199"/>
      <c r="S71" s="199"/>
      <c r="T71" s="199"/>
      <c r="U71" s="199"/>
      <c r="V71" s="199"/>
      <c r="W71" s="695"/>
    </row>
    <row r="72" spans="1:23" s="411" customFormat="1" ht="14.25" x14ac:dyDescent="0.2">
      <c r="A72" s="700"/>
      <c r="B72" s="640" t="s">
        <v>401</v>
      </c>
      <c r="C72" s="199"/>
      <c r="D72" s="199"/>
      <c r="E72" s="199"/>
      <c r="F72" s="199"/>
      <c r="G72" s="199"/>
      <c r="H72" s="199"/>
      <c r="I72" s="199"/>
      <c r="J72" s="199"/>
      <c r="K72" s="199"/>
      <c r="L72" s="199"/>
      <c r="M72" s="199"/>
      <c r="N72" s="199"/>
      <c r="O72" s="199"/>
      <c r="P72" s="199"/>
      <c r="Q72" s="199"/>
      <c r="R72" s="199"/>
      <c r="S72" s="199"/>
      <c r="T72" s="199"/>
      <c r="U72" s="199"/>
      <c r="V72" s="199"/>
      <c r="W72" s="695"/>
    </row>
    <row r="73" spans="1:23" s="953" customFormat="1" ht="14.25" x14ac:dyDescent="0.2">
      <c r="A73" s="950"/>
      <c r="B73" s="637" t="s">
        <v>402</v>
      </c>
      <c r="C73" s="948" t="str">
        <f>IF(ISERROR(C49/C55*100),"",IF(C49/C55*100=0,"",ROUND(C49/C55*100,2)))</f>
        <v/>
      </c>
      <c r="D73" s="948" t="str">
        <f t="shared" ref="D73:P73" si="30">IF(ISERROR(D49/D55*100),"",IF(D49/D55*100=0,"",ROUND(D49/D55*100,2)))</f>
        <v/>
      </c>
      <c r="E73" s="948" t="str">
        <f t="shared" si="30"/>
        <v/>
      </c>
      <c r="F73" s="948" t="str">
        <f t="shared" si="30"/>
        <v/>
      </c>
      <c r="G73" s="948" t="str">
        <f t="shared" si="30"/>
        <v/>
      </c>
      <c r="H73" s="948" t="str">
        <f t="shared" si="30"/>
        <v/>
      </c>
      <c r="I73" s="948" t="str">
        <f t="shared" si="30"/>
        <v/>
      </c>
      <c r="J73" s="948" t="str">
        <f t="shared" si="30"/>
        <v/>
      </c>
      <c r="K73" s="948" t="str">
        <f t="shared" si="30"/>
        <v/>
      </c>
      <c r="L73" s="948" t="str">
        <f t="shared" si="30"/>
        <v/>
      </c>
      <c r="M73" s="948" t="str">
        <f t="shared" si="30"/>
        <v/>
      </c>
      <c r="N73" s="948" t="str">
        <f t="shared" si="30"/>
        <v/>
      </c>
      <c r="O73" s="948" t="str">
        <f t="shared" si="30"/>
        <v/>
      </c>
      <c r="P73" s="948" t="str">
        <f t="shared" si="30"/>
        <v/>
      </c>
      <c r="Q73" s="948" t="str">
        <f t="shared" ref="Q73:V73" si="31">IF(ISERROR(Q49/Q55*100),"",IF(Q49/Q55*100=0,"",ROUND(Q49/Q55*100,2)))</f>
        <v/>
      </c>
      <c r="R73" s="948" t="str">
        <f t="shared" si="31"/>
        <v/>
      </c>
      <c r="S73" s="948" t="str">
        <f t="shared" si="31"/>
        <v/>
      </c>
      <c r="T73" s="948" t="str">
        <f t="shared" si="31"/>
        <v/>
      </c>
      <c r="U73" s="948" t="str">
        <f t="shared" si="31"/>
        <v/>
      </c>
      <c r="V73" s="948" t="str">
        <f t="shared" si="31"/>
        <v/>
      </c>
      <c r="W73" s="952"/>
    </row>
    <row r="74" spans="1:23" s="411" customFormat="1" ht="4.5" customHeight="1" x14ac:dyDescent="0.25">
      <c r="A74" s="700"/>
      <c r="B74" s="709"/>
      <c r="C74" s="696"/>
      <c r="D74" s="695"/>
      <c r="E74" s="695"/>
      <c r="F74" s="695"/>
      <c r="G74" s="695"/>
      <c r="H74" s="695"/>
      <c r="I74" s="695"/>
      <c r="J74" s="695"/>
      <c r="K74" s="695"/>
      <c r="L74" s="695"/>
      <c r="M74" s="695"/>
      <c r="N74" s="695"/>
      <c r="O74" s="695"/>
      <c r="P74" s="695"/>
      <c r="Q74" s="695"/>
      <c r="R74" s="695"/>
      <c r="S74" s="695"/>
      <c r="T74" s="695"/>
      <c r="U74" s="695"/>
      <c r="V74" s="695"/>
      <c r="W74" s="695"/>
    </row>
    <row r="75" spans="1:23" s="411" customFormat="1" ht="15.75" hidden="1" x14ac:dyDescent="0.25">
      <c r="A75" s="700"/>
      <c r="B75" s="713"/>
      <c r="C75" s="415"/>
      <c r="D75" s="410"/>
      <c r="E75" s="410"/>
      <c r="F75" s="410"/>
      <c r="G75" s="410"/>
      <c r="H75" s="410"/>
      <c r="I75" s="410"/>
      <c r="J75" s="410"/>
      <c r="K75" s="410"/>
      <c r="L75" s="410"/>
      <c r="M75" s="410"/>
      <c r="N75" s="410"/>
      <c r="O75" s="410"/>
      <c r="P75" s="410"/>
      <c r="Q75" s="410"/>
      <c r="R75" s="410"/>
      <c r="S75" s="410"/>
      <c r="T75" s="410"/>
      <c r="U75" s="410"/>
      <c r="V75" s="410"/>
      <c r="W75" s="410"/>
    </row>
    <row r="76" spans="1:23" s="411" customFormat="1" ht="15.75" hidden="1" x14ac:dyDescent="0.25">
      <c r="A76" s="700"/>
      <c r="B76" s="713"/>
      <c r="C76" s="415"/>
      <c r="D76" s="410"/>
      <c r="E76" s="410"/>
      <c r="F76" s="410"/>
      <c r="G76" s="410"/>
      <c r="H76" s="410"/>
      <c r="I76" s="410"/>
      <c r="J76" s="410"/>
      <c r="K76" s="410"/>
      <c r="L76" s="410"/>
      <c r="M76" s="410"/>
      <c r="N76" s="410"/>
      <c r="O76" s="410"/>
      <c r="P76" s="410"/>
      <c r="Q76" s="410"/>
      <c r="R76" s="410"/>
      <c r="S76" s="410"/>
      <c r="T76" s="410"/>
      <c r="U76" s="410"/>
      <c r="V76" s="410"/>
      <c r="W76" s="410"/>
    </row>
    <row r="77" spans="1:23" s="411" customFormat="1" ht="15.75" hidden="1" x14ac:dyDescent="0.25">
      <c r="A77" s="700"/>
      <c r="B77" s="713"/>
      <c r="C77" s="415"/>
      <c r="D77" s="410"/>
      <c r="E77" s="410"/>
      <c r="F77" s="410"/>
      <c r="G77" s="410"/>
      <c r="H77" s="410"/>
      <c r="I77" s="410"/>
      <c r="J77" s="410"/>
      <c r="K77" s="410"/>
      <c r="L77" s="410"/>
      <c r="M77" s="410"/>
      <c r="N77" s="410"/>
      <c r="O77" s="410"/>
      <c r="P77" s="410"/>
      <c r="Q77" s="410"/>
      <c r="R77" s="410"/>
      <c r="S77" s="410"/>
      <c r="T77" s="410"/>
      <c r="U77" s="410"/>
      <c r="V77" s="410"/>
      <c r="W77" s="410"/>
    </row>
    <row r="78" spans="1:23" s="411" customFormat="1" hidden="1" x14ac:dyDescent="0.2">
      <c r="A78" s="700"/>
      <c r="B78" s="713"/>
      <c r="C78" s="421" t="s">
        <v>86</v>
      </c>
      <c r="D78" s="410"/>
      <c r="E78" s="410"/>
      <c r="F78" s="410"/>
      <c r="G78" s="410"/>
      <c r="H78" s="410"/>
      <c r="I78" s="410"/>
      <c r="J78" s="410"/>
      <c r="K78" s="410"/>
      <c r="L78" s="410"/>
      <c r="M78" s="410"/>
      <c r="N78" s="410"/>
      <c r="O78" s="410"/>
      <c r="P78" s="410"/>
      <c r="Q78" s="410"/>
      <c r="R78" s="410"/>
      <c r="S78" s="410"/>
      <c r="T78" s="410"/>
      <c r="U78" s="410"/>
      <c r="V78" s="410"/>
      <c r="W78" s="410"/>
    </row>
    <row r="79" spans="1:23" s="411" customFormat="1" hidden="1" x14ac:dyDescent="0.2">
      <c r="A79" s="700"/>
      <c r="B79" s="713"/>
      <c r="C79" s="421" t="s">
        <v>686</v>
      </c>
      <c r="D79" s="410"/>
      <c r="E79" s="410"/>
      <c r="F79" s="410"/>
      <c r="G79" s="410"/>
      <c r="H79" s="410"/>
      <c r="I79" s="410"/>
      <c r="J79" s="410"/>
      <c r="K79" s="410"/>
      <c r="L79" s="410"/>
      <c r="M79" s="410"/>
      <c r="N79" s="410"/>
      <c r="O79" s="410"/>
      <c r="P79" s="410"/>
      <c r="Q79" s="410"/>
      <c r="R79" s="410"/>
      <c r="S79" s="410"/>
      <c r="T79" s="410"/>
      <c r="U79" s="410"/>
      <c r="V79" s="410"/>
      <c r="W79" s="410"/>
    </row>
    <row r="80" spans="1:23" s="411" customFormat="1" hidden="1" x14ac:dyDescent="0.2">
      <c r="A80" s="700"/>
      <c r="B80" s="713"/>
      <c r="C80" s="421" t="s">
        <v>87</v>
      </c>
      <c r="D80" s="410"/>
      <c r="E80" s="410"/>
      <c r="F80" s="410"/>
      <c r="G80" s="410"/>
      <c r="H80" s="410"/>
      <c r="I80" s="410"/>
      <c r="J80" s="410"/>
      <c r="K80" s="410"/>
      <c r="L80" s="410"/>
      <c r="M80" s="410"/>
      <c r="N80" s="410"/>
      <c r="O80" s="410"/>
      <c r="P80" s="410"/>
      <c r="Q80" s="410"/>
      <c r="R80" s="410"/>
      <c r="S80" s="410"/>
      <c r="T80" s="410"/>
      <c r="U80" s="410"/>
      <c r="V80" s="410"/>
      <c r="W80" s="410"/>
    </row>
    <row r="81" spans="1:23" s="411" customFormat="1" hidden="1" x14ac:dyDescent="0.2">
      <c r="A81" s="700"/>
      <c r="B81" s="713"/>
      <c r="C81" s="422" t="s">
        <v>687</v>
      </c>
      <c r="D81" s="423"/>
      <c r="E81" s="423"/>
      <c r="F81" s="423"/>
      <c r="G81" s="423"/>
      <c r="H81" s="423"/>
      <c r="I81" s="423"/>
      <c r="J81" s="423"/>
      <c r="K81" s="423"/>
      <c r="L81" s="423"/>
      <c r="M81" s="423"/>
      <c r="N81" s="423"/>
      <c r="O81" s="423"/>
      <c r="P81" s="423"/>
      <c r="Q81" s="423"/>
      <c r="R81" s="423"/>
      <c r="S81" s="423"/>
      <c r="T81" s="423"/>
      <c r="U81" s="423"/>
      <c r="V81" s="423"/>
      <c r="W81" s="410"/>
    </row>
    <row r="82" spans="1:23" s="411" customFormat="1" hidden="1" x14ac:dyDescent="0.2">
      <c r="A82" s="700"/>
      <c r="B82" s="713"/>
      <c r="C82" s="422"/>
      <c r="D82" s="423"/>
      <c r="E82" s="423"/>
      <c r="F82" s="423"/>
      <c r="G82" s="423"/>
      <c r="H82" s="423"/>
      <c r="I82" s="423"/>
      <c r="J82" s="423"/>
      <c r="K82" s="423"/>
      <c r="L82" s="423"/>
      <c r="M82" s="423"/>
      <c r="N82" s="423"/>
      <c r="O82" s="423"/>
      <c r="P82" s="423"/>
      <c r="Q82" s="423"/>
      <c r="R82" s="423"/>
      <c r="S82" s="423"/>
      <c r="T82" s="423"/>
      <c r="U82" s="423"/>
      <c r="V82" s="423"/>
      <c r="W82" s="410"/>
    </row>
    <row r="83" spans="1:23" s="411" customFormat="1" hidden="1" x14ac:dyDescent="0.2">
      <c r="A83" s="700"/>
      <c r="B83" s="713"/>
      <c r="C83" s="422" t="s">
        <v>688</v>
      </c>
      <c r="D83" s="422" t="s">
        <v>688</v>
      </c>
      <c r="E83" s="422" t="s">
        <v>688</v>
      </c>
      <c r="F83" s="422" t="s">
        <v>688</v>
      </c>
      <c r="G83" s="422" t="s">
        <v>688</v>
      </c>
      <c r="H83" s="422" t="s">
        <v>688</v>
      </c>
      <c r="I83" s="422" t="s">
        <v>688</v>
      </c>
      <c r="J83" s="422" t="s">
        <v>688</v>
      </c>
      <c r="K83" s="422" t="s">
        <v>688</v>
      </c>
      <c r="L83" s="422" t="s">
        <v>688</v>
      </c>
      <c r="M83" s="422" t="s">
        <v>688</v>
      </c>
      <c r="N83" s="422" t="s">
        <v>688</v>
      </c>
      <c r="O83" s="422" t="s">
        <v>688</v>
      </c>
      <c r="P83" s="422" t="s">
        <v>688</v>
      </c>
      <c r="Q83" s="422" t="s">
        <v>688</v>
      </c>
      <c r="R83" s="422" t="s">
        <v>688</v>
      </c>
      <c r="S83" s="422" t="s">
        <v>688</v>
      </c>
      <c r="T83" s="422" t="s">
        <v>688</v>
      </c>
      <c r="U83" s="422" t="s">
        <v>688</v>
      </c>
      <c r="V83" s="422" t="s">
        <v>688</v>
      </c>
      <c r="W83" s="410"/>
    </row>
    <row r="84" spans="1:23" s="411" customFormat="1" hidden="1" x14ac:dyDescent="0.2">
      <c r="A84" s="700"/>
      <c r="B84" s="713"/>
      <c r="C84" s="422" t="s">
        <v>303</v>
      </c>
      <c r="D84" s="422" t="s">
        <v>303</v>
      </c>
      <c r="E84" s="422" t="s">
        <v>303</v>
      </c>
      <c r="F84" s="422" t="s">
        <v>303</v>
      </c>
      <c r="G84" s="422" t="s">
        <v>303</v>
      </c>
      <c r="H84" s="422" t="s">
        <v>303</v>
      </c>
      <c r="I84" s="422" t="s">
        <v>303</v>
      </c>
      <c r="J84" s="422" t="s">
        <v>303</v>
      </c>
      <c r="K84" s="422" t="s">
        <v>303</v>
      </c>
      <c r="L84" s="422" t="s">
        <v>303</v>
      </c>
      <c r="M84" s="422" t="s">
        <v>303</v>
      </c>
      <c r="N84" s="422" t="s">
        <v>303</v>
      </c>
      <c r="O84" s="422" t="s">
        <v>303</v>
      </c>
      <c r="P84" s="422" t="s">
        <v>303</v>
      </c>
      <c r="Q84" s="422" t="s">
        <v>303</v>
      </c>
      <c r="R84" s="422" t="s">
        <v>303</v>
      </c>
      <c r="S84" s="422" t="s">
        <v>303</v>
      </c>
      <c r="T84" s="422" t="s">
        <v>303</v>
      </c>
      <c r="U84" s="422" t="s">
        <v>303</v>
      </c>
      <c r="V84" s="422" t="s">
        <v>303</v>
      </c>
      <c r="W84" s="410"/>
    </row>
    <row r="85" spans="1:23" s="411" customFormat="1" hidden="1" x14ac:dyDescent="0.2">
      <c r="A85" s="700"/>
      <c r="B85" s="713"/>
      <c r="C85" s="422" t="s">
        <v>137</v>
      </c>
      <c r="D85" s="422" t="s">
        <v>137</v>
      </c>
      <c r="E85" s="422" t="s">
        <v>137</v>
      </c>
      <c r="F85" s="422" t="s">
        <v>137</v>
      </c>
      <c r="G85" s="422" t="s">
        <v>137</v>
      </c>
      <c r="H85" s="422" t="s">
        <v>137</v>
      </c>
      <c r="I85" s="422" t="s">
        <v>137</v>
      </c>
      <c r="J85" s="422" t="s">
        <v>137</v>
      </c>
      <c r="K85" s="422" t="s">
        <v>137</v>
      </c>
      <c r="L85" s="422" t="s">
        <v>137</v>
      </c>
      <c r="M85" s="422" t="s">
        <v>137</v>
      </c>
      <c r="N85" s="422" t="s">
        <v>137</v>
      </c>
      <c r="O85" s="422" t="s">
        <v>137</v>
      </c>
      <c r="P85" s="422" t="s">
        <v>137</v>
      </c>
      <c r="Q85" s="422" t="s">
        <v>137</v>
      </c>
      <c r="R85" s="422" t="s">
        <v>137</v>
      </c>
      <c r="S85" s="422" t="s">
        <v>137</v>
      </c>
      <c r="T85" s="422" t="s">
        <v>137</v>
      </c>
      <c r="U85" s="422" t="s">
        <v>137</v>
      </c>
      <c r="V85" s="422" t="s">
        <v>137</v>
      </c>
      <c r="W85" s="410"/>
    </row>
    <row r="86" spans="1:23" s="411" customFormat="1" hidden="1" x14ac:dyDescent="0.2">
      <c r="A86" s="700"/>
      <c r="B86" s="713"/>
      <c r="C86" s="422" t="s">
        <v>293</v>
      </c>
      <c r="D86" s="422" t="s">
        <v>293</v>
      </c>
      <c r="E86" s="422" t="s">
        <v>293</v>
      </c>
      <c r="F86" s="422" t="s">
        <v>293</v>
      </c>
      <c r="G86" s="422" t="s">
        <v>293</v>
      </c>
      <c r="H86" s="422" t="s">
        <v>293</v>
      </c>
      <c r="I86" s="422" t="s">
        <v>293</v>
      </c>
      <c r="J86" s="422" t="s">
        <v>293</v>
      </c>
      <c r="K86" s="422" t="s">
        <v>293</v>
      </c>
      <c r="L86" s="422" t="s">
        <v>293</v>
      </c>
      <c r="M86" s="422" t="s">
        <v>293</v>
      </c>
      <c r="N86" s="422" t="s">
        <v>293</v>
      </c>
      <c r="O86" s="422" t="s">
        <v>293</v>
      </c>
      <c r="P86" s="422" t="s">
        <v>293</v>
      </c>
      <c r="Q86" s="422" t="s">
        <v>293</v>
      </c>
      <c r="R86" s="422" t="s">
        <v>293</v>
      </c>
      <c r="S86" s="422" t="s">
        <v>293</v>
      </c>
      <c r="T86" s="422" t="s">
        <v>293</v>
      </c>
      <c r="U86" s="422" t="s">
        <v>293</v>
      </c>
      <c r="V86" s="422" t="s">
        <v>293</v>
      </c>
      <c r="W86" s="410"/>
    </row>
    <row r="87" spans="1:23" s="411" customFormat="1" hidden="1" x14ac:dyDescent="0.2">
      <c r="A87" s="700"/>
      <c r="B87" s="713"/>
      <c r="C87" s="422" t="s">
        <v>294</v>
      </c>
      <c r="D87" s="422" t="s">
        <v>294</v>
      </c>
      <c r="E87" s="422" t="s">
        <v>294</v>
      </c>
      <c r="F87" s="422" t="s">
        <v>294</v>
      </c>
      <c r="G87" s="422" t="s">
        <v>294</v>
      </c>
      <c r="H87" s="422" t="s">
        <v>294</v>
      </c>
      <c r="I87" s="422" t="s">
        <v>294</v>
      </c>
      <c r="J87" s="422" t="s">
        <v>294</v>
      </c>
      <c r="K87" s="422" t="s">
        <v>294</v>
      </c>
      <c r="L87" s="422" t="s">
        <v>294</v>
      </c>
      <c r="M87" s="422" t="s">
        <v>294</v>
      </c>
      <c r="N87" s="422" t="s">
        <v>294</v>
      </c>
      <c r="O87" s="422" t="s">
        <v>294</v>
      </c>
      <c r="P87" s="422" t="s">
        <v>294</v>
      </c>
      <c r="Q87" s="422" t="s">
        <v>294</v>
      </c>
      <c r="R87" s="422" t="s">
        <v>294</v>
      </c>
      <c r="S87" s="422" t="s">
        <v>294</v>
      </c>
      <c r="T87" s="422" t="s">
        <v>294</v>
      </c>
      <c r="U87" s="422" t="s">
        <v>294</v>
      </c>
      <c r="V87" s="422" t="s">
        <v>294</v>
      </c>
      <c r="W87" s="410"/>
    </row>
    <row r="88" spans="1:23" s="411" customFormat="1" hidden="1" x14ac:dyDescent="0.2">
      <c r="A88" s="700"/>
      <c r="B88" s="713"/>
      <c r="C88" s="422" t="s">
        <v>295</v>
      </c>
      <c r="D88" s="422" t="s">
        <v>295</v>
      </c>
      <c r="E88" s="422" t="s">
        <v>295</v>
      </c>
      <c r="F88" s="422" t="s">
        <v>295</v>
      </c>
      <c r="G88" s="422" t="s">
        <v>295</v>
      </c>
      <c r="H88" s="422" t="s">
        <v>295</v>
      </c>
      <c r="I88" s="422" t="s">
        <v>295</v>
      </c>
      <c r="J88" s="422" t="s">
        <v>295</v>
      </c>
      <c r="K88" s="422" t="s">
        <v>295</v>
      </c>
      <c r="L88" s="422" t="s">
        <v>295</v>
      </c>
      <c r="M88" s="422" t="s">
        <v>295</v>
      </c>
      <c r="N88" s="422" t="s">
        <v>295</v>
      </c>
      <c r="O88" s="422" t="s">
        <v>295</v>
      </c>
      <c r="P88" s="422" t="s">
        <v>295</v>
      </c>
      <c r="Q88" s="422" t="s">
        <v>295</v>
      </c>
      <c r="R88" s="422" t="s">
        <v>295</v>
      </c>
      <c r="S88" s="422" t="s">
        <v>295</v>
      </c>
      <c r="T88" s="422" t="s">
        <v>295</v>
      </c>
      <c r="U88" s="422" t="s">
        <v>295</v>
      </c>
      <c r="V88" s="422" t="s">
        <v>295</v>
      </c>
      <c r="W88" s="410"/>
    </row>
    <row r="89" spans="1:23" s="411" customFormat="1" hidden="1" x14ac:dyDescent="0.2">
      <c r="A89" s="700"/>
      <c r="B89" s="713"/>
      <c r="C89" s="422" t="s">
        <v>296</v>
      </c>
      <c r="D89" s="422" t="s">
        <v>296</v>
      </c>
      <c r="E89" s="422" t="s">
        <v>296</v>
      </c>
      <c r="F89" s="422" t="s">
        <v>296</v>
      </c>
      <c r="G89" s="422" t="s">
        <v>296</v>
      </c>
      <c r="H89" s="422" t="s">
        <v>296</v>
      </c>
      <c r="I89" s="422" t="s">
        <v>296</v>
      </c>
      <c r="J89" s="422" t="s">
        <v>296</v>
      </c>
      <c r="K89" s="422" t="s">
        <v>296</v>
      </c>
      <c r="L89" s="422" t="s">
        <v>296</v>
      </c>
      <c r="M89" s="422" t="s">
        <v>296</v>
      </c>
      <c r="N89" s="422" t="s">
        <v>296</v>
      </c>
      <c r="O89" s="422" t="s">
        <v>296</v>
      </c>
      <c r="P89" s="422" t="s">
        <v>296</v>
      </c>
      <c r="Q89" s="422" t="s">
        <v>296</v>
      </c>
      <c r="R89" s="422" t="s">
        <v>296</v>
      </c>
      <c r="S89" s="422" t="s">
        <v>296</v>
      </c>
      <c r="T89" s="422" t="s">
        <v>296</v>
      </c>
      <c r="U89" s="422" t="s">
        <v>296</v>
      </c>
      <c r="V89" s="422" t="s">
        <v>296</v>
      </c>
      <c r="W89" s="410"/>
    </row>
    <row r="90" spans="1:23" s="411" customFormat="1" hidden="1" x14ac:dyDescent="0.2">
      <c r="A90" s="700"/>
      <c r="B90" s="713"/>
      <c r="C90" s="422" t="s">
        <v>297</v>
      </c>
      <c r="D90" s="422" t="s">
        <v>297</v>
      </c>
      <c r="E90" s="422" t="s">
        <v>297</v>
      </c>
      <c r="F90" s="422" t="s">
        <v>297</v>
      </c>
      <c r="G90" s="422" t="s">
        <v>297</v>
      </c>
      <c r="H90" s="422" t="s">
        <v>297</v>
      </c>
      <c r="I90" s="422" t="s">
        <v>297</v>
      </c>
      <c r="J90" s="422" t="s">
        <v>297</v>
      </c>
      <c r="K90" s="422" t="s">
        <v>297</v>
      </c>
      <c r="L90" s="422" t="s">
        <v>297</v>
      </c>
      <c r="M90" s="422" t="s">
        <v>297</v>
      </c>
      <c r="N90" s="422" t="s">
        <v>297</v>
      </c>
      <c r="O90" s="422" t="s">
        <v>297</v>
      </c>
      <c r="P90" s="422" t="s">
        <v>297</v>
      </c>
      <c r="Q90" s="422" t="s">
        <v>297</v>
      </c>
      <c r="R90" s="422" t="s">
        <v>297</v>
      </c>
      <c r="S90" s="422" t="s">
        <v>297</v>
      </c>
      <c r="T90" s="422" t="s">
        <v>297</v>
      </c>
      <c r="U90" s="422" t="s">
        <v>297</v>
      </c>
      <c r="V90" s="422" t="s">
        <v>297</v>
      </c>
      <c r="W90" s="410"/>
    </row>
    <row r="91" spans="1:23" s="411" customFormat="1" hidden="1" x14ac:dyDescent="0.2">
      <c r="A91" s="700"/>
      <c r="B91" s="713"/>
      <c r="C91" s="422" t="s">
        <v>298</v>
      </c>
      <c r="D91" s="422" t="s">
        <v>298</v>
      </c>
      <c r="E91" s="422" t="s">
        <v>298</v>
      </c>
      <c r="F91" s="422" t="s">
        <v>298</v>
      </c>
      <c r="G91" s="422" t="s">
        <v>298</v>
      </c>
      <c r="H91" s="422" t="s">
        <v>298</v>
      </c>
      <c r="I91" s="422" t="s">
        <v>298</v>
      </c>
      <c r="J91" s="422" t="s">
        <v>298</v>
      </c>
      <c r="K91" s="422" t="s">
        <v>298</v>
      </c>
      <c r="L91" s="422" t="s">
        <v>298</v>
      </c>
      <c r="M91" s="422" t="s">
        <v>298</v>
      </c>
      <c r="N91" s="422" t="s">
        <v>298</v>
      </c>
      <c r="O91" s="422" t="s">
        <v>298</v>
      </c>
      <c r="P91" s="422" t="s">
        <v>298</v>
      </c>
      <c r="Q91" s="422" t="s">
        <v>298</v>
      </c>
      <c r="R91" s="422" t="s">
        <v>298</v>
      </c>
      <c r="S91" s="422" t="s">
        <v>298</v>
      </c>
      <c r="T91" s="422" t="s">
        <v>298</v>
      </c>
      <c r="U91" s="422" t="s">
        <v>298</v>
      </c>
      <c r="V91" s="422" t="s">
        <v>298</v>
      </c>
      <c r="W91" s="410"/>
    </row>
    <row r="92" spans="1:23" s="411" customFormat="1" hidden="1" x14ac:dyDescent="0.2">
      <c r="A92" s="700"/>
      <c r="B92" s="713"/>
      <c r="C92" s="422" t="s">
        <v>299</v>
      </c>
      <c r="D92" s="422" t="s">
        <v>299</v>
      </c>
      <c r="E92" s="422" t="s">
        <v>299</v>
      </c>
      <c r="F92" s="422" t="s">
        <v>299</v>
      </c>
      <c r="G92" s="422" t="s">
        <v>299</v>
      </c>
      <c r="H92" s="422" t="s">
        <v>299</v>
      </c>
      <c r="I92" s="422" t="s">
        <v>299</v>
      </c>
      <c r="J92" s="422" t="s">
        <v>299</v>
      </c>
      <c r="K92" s="422" t="s">
        <v>299</v>
      </c>
      <c r="L92" s="422" t="s">
        <v>299</v>
      </c>
      <c r="M92" s="422" t="s">
        <v>299</v>
      </c>
      <c r="N92" s="422" t="s">
        <v>299</v>
      </c>
      <c r="O92" s="422" t="s">
        <v>299</v>
      </c>
      <c r="P92" s="422" t="s">
        <v>299</v>
      </c>
      <c r="Q92" s="422" t="s">
        <v>299</v>
      </c>
      <c r="R92" s="422" t="s">
        <v>299</v>
      </c>
      <c r="S92" s="422" t="s">
        <v>299</v>
      </c>
      <c r="T92" s="422" t="s">
        <v>299</v>
      </c>
      <c r="U92" s="422" t="s">
        <v>299</v>
      </c>
      <c r="V92" s="422" t="s">
        <v>299</v>
      </c>
      <c r="W92" s="410"/>
    </row>
    <row r="93" spans="1:23" s="411" customFormat="1" hidden="1" x14ac:dyDescent="0.2">
      <c r="A93" s="700"/>
      <c r="B93" s="713"/>
      <c r="C93" s="422" t="s">
        <v>201</v>
      </c>
      <c r="D93" s="422" t="s">
        <v>201</v>
      </c>
      <c r="E93" s="422" t="s">
        <v>201</v>
      </c>
      <c r="F93" s="422" t="s">
        <v>201</v>
      </c>
      <c r="G93" s="422" t="s">
        <v>201</v>
      </c>
      <c r="H93" s="422" t="s">
        <v>201</v>
      </c>
      <c r="I93" s="422" t="s">
        <v>201</v>
      </c>
      <c r="J93" s="422" t="s">
        <v>201</v>
      </c>
      <c r="K93" s="422" t="s">
        <v>201</v>
      </c>
      <c r="L93" s="422" t="s">
        <v>201</v>
      </c>
      <c r="M93" s="422" t="s">
        <v>201</v>
      </c>
      <c r="N93" s="422" t="s">
        <v>201</v>
      </c>
      <c r="O93" s="422" t="s">
        <v>201</v>
      </c>
      <c r="P93" s="422" t="s">
        <v>201</v>
      </c>
      <c r="Q93" s="422" t="s">
        <v>201</v>
      </c>
      <c r="R93" s="422" t="s">
        <v>201</v>
      </c>
      <c r="S93" s="422" t="s">
        <v>201</v>
      </c>
      <c r="T93" s="422" t="s">
        <v>201</v>
      </c>
      <c r="U93" s="422" t="s">
        <v>201</v>
      </c>
      <c r="V93" s="422" t="s">
        <v>201</v>
      </c>
      <c r="W93" s="410"/>
    </row>
    <row r="94" spans="1:23" s="411" customFormat="1" hidden="1" x14ac:dyDescent="0.2">
      <c r="A94" s="700"/>
      <c r="B94" s="713"/>
      <c r="C94" s="422" t="s">
        <v>304</v>
      </c>
      <c r="D94" s="422" t="s">
        <v>304</v>
      </c>
      <c r="E94" s="422" t="s">
        <v>304</v>
      </c>
      <c r="F94" s="422" t="s">
        <v>304</v>
      </c>
      <c r="G94" s="422" t="s">
        <v>304</v>
      </c>
      <c r="H94" s="422" t="s">
        <v>304</v>
      </c>
      <c r="I94" s="422" t="s">
        <v>304</v>
      </c>
      <c r="J94" s="422" t="s">
        <v>304</v>
      </c>
      <c r="K94" s="422" t="s">
        <v>304</v>
      </c>
      <c r="L94" s="422" t="s">
        <v>304</v>
      </c>
      <c r="M94" s="422" t="s">
        <v>304</v>
      </c>
      <c r="N94" s="422" t="s">
        <v>304</v>
      </c>
      <c r="O94" s="422" t="s">
        <v>304</v>
      </c>
      <c r="P94" s="422" t="s">
        <v>304</v>
      </c>
      <c r="Q94" s="422" t="s">
        <v>304</v>
      </c>
      <c r="R94" s="422" t="s">
        <v>304</v>
      </c>
      <c r="S94" s="422" t="s">
        <v>304</v>
      </c>
      <c r="T94" s="422" t="s">
        <v>304</v>
      </c>
      <c r="U94" s="422" t="s">
        <v>304</v>
      </c>
      <c r="V94" s="422" t="s">
        <v>304</v>
      </c>
      <c r="W94" s="410"/>
    </row>
    <row r="95" spans="1:23" s="411" customFormat="1" hidden="1" x14ac:dyDescent="0.2">
      <c r="A95" s="700"/>
      <c r="B95" s="713"/>
      <c r="C95" s="422" t="s">
        <v>354</v>
      </c>
      <c r="D95" s="422" t="s">
        <v>354</v>
      </c>
      <c r="E95" s="422" t="s">
        <v>354</v>
      </c>
      <c r="F95" s="422" t="s">
        <v>354</v>
      </c>
      <c r="G95" s="422" t="s">
        <v>354</v>
      </c>
      <c r="H95" s="422" t="s">
        <v>354</v>
      </c>
      <c r="I95" s="422" t="s">
        <v>354</v>
      </c>
      <c r="J95" s="422" t="s">
        <v>354</v>
      </c>
      <c r="K95" s="422" t="s">
        <v>354</v>
      </c>
      <c r="L95" s="422" t="s">
        <v>354</v>
      </c>
      <c r="M95" s="422" t="s">
        <v>354</v>
      </c>
      <c r="N95" s="422" t="s">
        <v>354</v>
      </c>
      <c r="O95" s="422" t="s">
        <v>354</v>
      </c>
      <c r="P95" s="422" t="s">
        <v>354</v>
      </c>
      <c r="Q95" s="422" t="s">
        <v>354</v>
      </c>
      <c r="R95" s="422" t="s">
        <v>354</v>
      </c>
      <c r="S95" s="422" t="s">
        <v>354</v>
      </c>
      <c r="T95" s="422" t="s">
        <v>354</v>
      </c>
      <c r="U95" s="422" t="s">
        <v>354</v>
      </c>
      <c r="V95" s="422" t="s">
        <v>354</v>
      </c>
      <c r="W95" s="410"/>
    </row>
    <row r="96" spans="1:23" s="411" customFormat="1" hidden="1" x14ac:dyDescent="0.2">
      <c r="A96" s="700"/>
      <c r="B96" s="713"/>
      <c r="C96" s="422" t="s">
        <v>99</v>
      </c>
      <c r="D96" s="422" t="s">
        <v>99</v>
      </c>
      <c r="E96" s="422" t="s">
        <v>99</v>
      </c>
      <c r="F96" s="422" t="s">
        <v>99</v>
      </c>
      <c r="G96" s="422" t="s">
        <v>99</v>
      </c>
      <c r="H96" s="422" t="s">
        <v>99</v>
      </c>
      <c r="I96" s="422" t="s">
        <v>99</v>
      </c>
      <c r="J96" s="422" t="s">
        <v>99</v>
      </c>
      <c r="K96" s="422" t="s">
        <v>99</v>
      </c>
      <c r="L96" s="422" t="s">
        <v>99</v>
      </c>
      <c r="M96" s="422" t="s">
        <v>99</v>
      </c>
      <c r="N96" s="422" t="s">
        <v>99</v>
      </c>
      <c r="O96" s="422" t="s">
        <v>99</v>
      </c>
      <c r="P96" s="422" t="s">
        <v>99</v>
      </c>
      <c r="Q96" s="422" t="s">
        <v>99</v>
      </c>
      <c r="R96" s="422" t="s">
        <v>99</v>
      </c>
      <c r="S96" s="422" t="s">
        <v>99</v>
      </c>
      <c r="T96" s="422" t="s">
        <v>99</v>
      </c>
      <c r="U96" s="422" t="s">
        <v>99</v>
      </c>
      <c r="V96" s="422" t="s">
        <v>99</v>
      </c>
      <c r="W96" s="410"/>
    </row>
    <row r="97" spans="1:23" s="411" customFormat="1" hidden="1" x14ac:dyDescent="0.2">
      <c r="A97" s="700"/>
      <c r="B97" s="713"/>
      <c r="C97" s="422" t="s">
        <v>100</v>
      </c>
      <c r="D97" s="422" t="s">
        <v>100</v>
      </c>
      <c r="E97" s="422" t="s">
        <v>100</v>
      </c>
      <c r="F97" s="422" t="s">
        <v>100</v>
      </c>
      <c r="G97" s="422" t="s">
        <v>100</v>
      </c>
      <c r="H97" s="422" t="s">
        <v>100</v>
      </c>
      <c r="I97" s="422" t="s">
        <v>100</v>
      </c>
      <c r="J97" s="422" t="s">
        <v>100</v>
      </c>
      <c r="K97" s="422" t="s">
        <v>100</v>
      </c>
      <c r="L97" s="422" t="s">
        <v>100</v>
      </c>
      <c r="M97" s="422" t="s">
        <v>100</v>
      </c>
      <c r="N97" s="422" t="s">
        <v>100</v>
      </c>
      <c r="O97" s="422" t="s">
        <v>100</v>
      </c>
      <c r="P97" s="422" t="s">
        <v>100</v>
      </c>
      <c r="Q97" s="422" t="s">
        <v>100</v>
      </c>
      <c r="R97" s="422" t="s">
        <v>100</v>
      </c>
      <c r="S97" s="422" t="s">
        <v>100</v>
      </c>
      <c r="T97" s="422" t="s">
        <v>100</v>
      </c>
      <c r="U97" s="422" t="s">
        <v>100</v>
      </c>
      <c r="V97" s="422" t="s">
        <v>100</v>
      </c>
      <c r="W97" s="410"/>
    </row>
    <row r="98" spans="1:23" s="411" customFormat="1" hidden="1" x14ac:dyDescent="0.2">
      <c r="A98" s="700"/>
      <c r="B98" s="713"/>
      <c r="C98" s="422" t="s">
        <v>507</v>
      </c>
      <c r="D98" s="422" t="s">
        <v>507</v>
      </c>
      <c r="E98" s="422" t="s">
        <v>507</v>
      </c>
      <c r="F98" s="422" t="s">
        <v>507</v>
      </c>
      <c r="G98" s="422" t="s">
        <v>507</v>
      </c>
      <c r="H98" s="422" t="s">
        <v>507</v>
      </c>
      <c r="I98" s="422" t="s">
        <v>507</v>
      </c>
      <c r="J98" s="422" t="s">
        <v>507</v>
      </c>
      <c r="K98" s="422" t="s">
        <v>507</v>
      </c>
      <c r="L98" s="422" t="s">
        <v>507</v>
      </c>
      <c r="M98" s="422" t="s">
        <v>507</v>
      </c>
      <c r="N98" s="422" t="s">
        <v>507</v>
      </c>
      <c r="O98" s="422" t="s">
        <v>507</v>
      </c>
      <c r="P98" s="422" t="s">
        <v>507</v>
      </c>
      <c r="Q98" s="422" t="s">
        <v>507</v>
      </c>
      <c r="R98" s="422" t="s">
        <v>507</v>
      </c>
      <c r="S98" s="422" t="s">
        <v>507</v>
      </c>
      <c r="T98" s="422" t="s">
        <v>507</v>
      </c>
      <c r="U98" s="422" t="s">
        <v>507</v>
      </c>
      <c r="V98" s="422" t="s">
        <v>507</v>
      </c>
      <c r="W98" s="410"/>
    </row>
    <row r="99" spans="1:23" s="411" customFormat="1" hidden="1" x14ac:dyDescent="0.2">
      <c r="A99" s="700"/>
      <c r="B99" s="713"/>
      <c r="C99" s="422" t="s">
        <v>508</v>
      </c>
      <c r="D99" s="422" t="s">
        <v>508</v>
      </c>
      <c r="E99" s="422" t="s">
        <v>508</v>
      </c>
      <c r="F99" s="422" t="s">
        <v>508</v>
      </c>
      <c r="G99" s="422" t="s">
        <v>508</v>
      </c>
      <c r="H99" s="422" t="s">
        <v>508</v>
      </c>
      <c r="I99" s="422" t="s">
        <v>508</v>
      </c>
      <c r="J99" s="422" t="s">
        <v>508</v>
      </c>
      <c r="K99" s="422" t="s">
        <v>508</v>
      </c>
      <c r="L99" s="422" t="s">
        <v>508</v>
      </c>
      <c r="M99" s="422" t="s">
        <v>508</v>
      </c>
      <c r="N99" s="422" t="s">
        <v>508</v>
      </c>
      <c r="O99" s="422" t="s">
        <v>508</v>
      </c>
      <c r="P99" s="422" t="s">
        <v>508</v>
      </c>
      <c r="Q99" s="422" t="s">
        <v>508</v>
      </c>
      <c r="R99" s="422" t="s">
        <v>508</v>
      </c>
      <c r="S99" s="422" t="s">
        <v>508</v>
      </c>
      <c r="T99" s="422" t="s">
        <v>508</v>
      </c>
      <c r="U99" s="422" t="s">
        <v>508</v>
      </c>
      <c r="V99" s="422" t="s">
        <v>508</v>
      </c>
      <c r="W99" s="410"/>
    </row>
    <row r="100" spans="1:23" s="411" customFormat="1" hidden="1" x14ac:dyDescent="0.2">
      <c r="A100" s="700"/>
      <c r="B100" s="713"/>
      <c r="C100" s="422" t="s">
        <v>509</v>
      </c>
      <c r="D100" s="422" t="s">
        <v>509</v>
      </c>
      <c r="E100" s="422" t="s">
        <v>509</v>
      </c>
      <c r="F100" s="422" t="s">
        <v>509</v>
      </c>
      <c r="G100" s="422" t="s">
        <v>509</v>
      </c>
      <c r="H100" s="422" t="s">
        <v>509</v>
      </c>
      <c r="I100" s="422" t="s">
        <v>509</v>
      </c>
      <c r="J100" s="422" t="s">
        <v>509</v>
      </c>
      <c r="K100" s="422" t="s">
        <v>509</v>
      </c>
      <c r="L100" s="422" t="s">
        <v>509</v>
      </c>
      <c r="M100" s="422" t="s">
        <v>509</v>
      </c>
      <c r="N100" s="422" t="s">
        <v>509</v>
      </c>
      <c r="O100" s="422" t="s">
        <v>509</v>
      </c>
      <c r="P100" s="422" t="s">
        <v>509</v>
      </c>
      <c r="Q100" s="422" t="s">
        <v>509</v>
      </c>
      <c r="R100" s="422" t="s">
        <v>509</v>
      </c>
      <c r="S100" s="422" t="s">
        <v>509</v>
      </c>
      <c r="T100" s="422" t="s">
        <v>509</v>
      </c>
      <c r="U100" s="422" t="s">
        <v>509</v>
      </c>
      <c r="V100" s="422" t="s">
        <v>509</v>
      </c>
      <c r="W100" s="410"/>
    </row>
    <row r="101" spans="1:23" s="411" customFormat="1" hidden="1" x14ac:dyDescent="0.2">
      <c r="A101" s="700"/>
      <c r="B101" s="713"/>
      <c r="C101" s="422" t="s">
        <v>689</v>
      </c>
      <c r="D101" s="422" t="s">
        <v>689</v>
      </c>
      <c r="E101" s="422" t="s">
        <v>689</v>
      </c>
      <c r="F101" s="422" t="s">
        <v>689</v>
      </c>
      <c r="G101" s="422" t="s">
        <v>689</v>
      </c>
      <c r="H101" s="422" t="s">
        <v>689</v>
      </c>
      <c r="I101" s="422" t="s">
        <v>689</v>
      </c>
      <c r="J101" s="422" t="s">
        <v>689</v>
      </c>
      <c r="K101" s="422" t="s">
        <v>689</v>
      </c>
      <c r="L101" s="422" t="s">
        <v>689</v>
      </c>
      <c r="M101" s="422" t="s">
        <v>689</v>
      </c>
      <c r="N101" s="422" t="s">
        <v>689</v>
      </c>
      <c r="O101" s="422" t="s">
        <v>689</v>
      </c>
      <c r="P101" s="422" t="s">
        <v>689</v>
      </c>
      <c r="Q101" s="422" t="s">
        <v>689</v>
      </c>
      <c r="R101" s="422" t="s">
        <v>689</v>
      </c>
      <c r="S101" s="422" t="s">
        <v>689</v>
      </c>
      <c r="T101" s="422" t="s">
        <v>689</v>
      </c>
      <c r="U101" s="422" t="s">
        <v>689</v>
      </c>
      <c r="V101" s="422" t="s">
        <v>689</v>
      </c>
      <c r="W101" s="410"/>
    </row>
    <row r="102" spans="1:23" s="411" customFormat="1" hidden="1" x14ac:dyDescent="0.2">
      <c r="A102" s="700"/>
      <c r="B102" s="713"/>
      <c r="C102" s="422" t="s">
        <v>690</v>
      </c>
      <c r="D102" s="422" t="s">
        <v>690</v>
      </c>
      <c r="E102" s="422" t="s">
        <v>690</v>
      </c>
      <c r="F102" s="422" t="s">
        <v>690</v>
      </c>
      <c r="G102" s="422" t="s">
        <v>690</v>
      </c>
      <c r="H102" s="422" t="s">
        <v>690</v>
      </c>
      <c r="I102" s="422" t="s">
        <v>690</v>
      </c>
      <c r="J102" s="422" t="s">
        <v>690</v>
      </c>
      <c r="K102" s="422" t="s">
        <v>690</v>
      </c>
      <c r="L102" s="422" t="s">
        <v>690</v>
      </c>
      <c r="M102" s="422" t="s">
        <v>690</v>
      </c>
      <c r="N102" s="422" t="s">
        <v>690</v>
      </c>
      <c r="O102" s="422" t="s">
        <v>690</v>
      </c>
      <c r="P102" s="422" t="s">
        <v>690</v>
      </c>
      <c r="Q102" s="422" t="s">
        <v>690</v>
      </c>
      <c r="R102" s="422" t="s">
        <v>690</v>
      </c>
      <c r="S102" s="422" t="s">
        <v>690</v>
      </c>
      <c r="T102" s="422" t="s">
        <v>690</v>
      </c>
      <c r="U102" s="422" t="s">
        <v>690</v>
      </c>
      <c r="V102" s="422" t="s">
        <v>690</v>
      </c>
      <c r="W102" s="410"/>
    </row>
    <row r="103" spans="1:23" s="411" customFormat="1" hidden="1" x14ac:dyDescent="0.2">
      <c r="A103" s="700"/>
      <c r="B103" s="713"/>
      <c r="C103" s="422" t="s">
        <v>691</v>
      </c>
      <c r="D103" s="422" t="s">
        <v>691</v>
      </c>
      <c r="E103" s="422" t="s">
        <v>691</v>
      </c>
      <c r="F103" s="422" t="s">
        <v>691</v>
      </c>
      <c r="G103" s="422" t="s">
        <v>691</v>
      </c>
      <c r="H103" s="422" t="s">
        <v>691</v>
      </c>
      <c r="I103" s="422" t="s">
        <v>691</v>
      </c>
      <c r="J103" s="422" t="s">
        <v>691</v>
      </c>
      <c r="K103" s="422" t="s">
        <v>691</v>
      </c>
      <c r="L103" s="422" t="s">
        <v>691</v>
      </c>
      <c r="M103" s="422" t="s">
        <v>691</v>
      </c>
      <c r="N103" s="422" t="s">
        <v>691</v>
      </c>
      <c r="O103" s="422" t="s">
        <v>691</v>
      </c>
      <c r="P103" s="422" t="s">
        <v>691</v>
      </c>
      <c r="Q103" s="422" t="s">
        <v>691</v>
      </c>
      <c r="R103" s="422" t="s">
        <v>691</v>
      </c>
      <c r="S103" s="422" t="s">
        <v>691</v>
      </c>
      <c r="T103" s="422" t="s">
        <v>691</v>
      </c>
      <c r="U103" s="422" t="s">
        <v>691</v>
      </c>
      <c r="V103" s="422" t="s">
        <v>691</v>
      </c>
      <c r="W103" s="410"/>
    </row>
    <row r="104" spans="1:23" s="411" customFormat="1" hidden="1" x14ac:dyDescent="0.2">
      <c r="A104" s="700"/>
      <c r="B104" s="713"/>
      <c r="C104" s="422" t="s">
        <v>692</v>
      </c>
      <c r="D104" s="422" t="s">
        <v>692</v>
      </c>
      <c r="E104" s="422" t="s">
        <v>692</v>
      </c>
      <c r="F104" s="422" t="s">
        <v>692</v>
      </c>
      <c r="G104" s="422" t="s">
        <v>692</v>
      </c>
      <c r="H104" s="422" t="s">
        <v>692</v>
      </c>
      <c r="I104" s="422" t="s">
        <v>692</v>
      </c>
      <c r="J104" s="422" t="s">
        <v>692</v>
      </c>
      <c r="K104" s="422" t="s">
        <v>692</v>
      </c>
      <c r="L104" s="422" t="s">
        <v>692</v>
      </c>
      <c r="M104" s="422" t="s">
        <v>692</v>
      </c>
      <c r="N104" s="422" t="s">
        <v>692</v>
      </c>
      <c r="O104" s="422" t="s">
        <v>692</v>
      </c>
      <c r="P104" s="422" t="s">
        <v>692</v>
      </c>
      <c r="Q104" s="422" t="s">
        <v>692</v>
      </c>
      <c r="R104" s="422" t="s">
        <v>692</v>
      </c>
      <c r="S104" s="422" t="s">
        <v>692</v>
      </c>
      <c r="T104" s="422" t="s">
        <v>692</v>
      </c>
      <c r="U104" s="422" t="s">
        <v>692</v>
      </c>
      <c r="V104" s="422" t="s">
        <v>692</v>
      </c>
      <c r="W104" s="410"/>
    </row>
    <row r="105" spans="1:23" s="411" customFormat="1" hidden="1" x14ac:dyDescent="0.2">
      <c r="A105" s="700"/>
      <c r="B105" s="713"/>
      <c r="C105" s="422" t="s">
        <v>693</v>
      </c>
      <c r="D105" s="422" t="s">
        <v>693</v>
      </c>
      <c r="E105" s="422" t="s">
        <v>693</v>
      </c>
      <c r="F105" s="422" t="s">
        <v>693</v>
      </c>
      <c r="G105" s="422" t="s">
        <v>693</v>
      </c>
      <c r="H105" s="422" t="s">
        <v>693</v>
      </c>
      <c r="I105" s="422" t="s">
        <v>693</v>
      </c>
      <c r="J105" s="422" t="s">
        <v>693</v>
      </c>
      <c r="K105" s="422" t="s">
        <v>693</v>
      </c>
      <c r="L105" s="422" t="s">
        <v>693</v>
      </c>
      <c r="M105" s="422" t="s">
        <v>693</v>
      </c>
      <c r="N105" s="422" t="s">
        <v>693</v>
      </c>
      <c r="O105" s="422" t="s">
        <v>693</v>
      </c>
      <c r="P105" s="422" t="s">
        <v>693</v>
      </c>
      <c r="Q105" s="422" t="s">
        <v>693</v>
      </c>
      <c r="R105" s="422" t="s">
        <v>693</v>
      </c>
      <c r="S105" s="422" t="s">
        <v>693</v>
      </c>
      <c r="T105" s="422" t="s">
        <v>693</v>
      </c>
      <c r="U105" s="422" t="s">
        <v>693</v>
      </c>
      <c r="V105" s="422" t="s">
        <v>693</v>
      </c>
      <c r="W105" s="410"/>
    </row>
    <row r="106" spans="1:23" s="411" customFormat="1" hidden="1" x14ac:dyDescent="0.2">
      <c r="A106" s="700"/>
      <c r="B106" s="713"/>
      <c r="C106" s="422" t="s">
        <v>694</v>
      </c>
      <c r="D106" s="422" t="s">
        <v>694</v>
      </c>
      <c r="E106" s="422" t="s">
        <v>694</v>
      </c>
      <c r="F106" s="422" t="s">
        <v>694</v>
      </c>
      <c r="G106" s="422" t="s">
        <v>694</v>
      </c>
      <c r="H106" s="422" t="s">
        <v>694</v>
      </c>
      <c r="I106" s="422" t="s">
        <v>694</v>
      </c>
      <c r="J106" s="422" t="s">
        <v>694</v>
      </c>
      <c r="K106" s="422" t="s">
        <v>694</v>
      </c>
      <c r="L106" s="422" t="s">
        <v>694</v>
      </c>
      <c r="M106" s="422" t="s">
        <v>694</v>
      </c>
      <c r="N106" s="422" t="s">
        <v>694</v>
      </c>
      <c r="O106" s="422" t="s">
        <v>694</v>
      </c>
      <c r="P106" s="422" t="s">
        <v>694</v>
      </c>
      <c r="Q106" s="422" t="s">
        <v>694</v>
      </c>
      <c r="R106" s="422" t="s">
        <v>694</v>
      </c>
      <c r="S106" s="422" t="s">
        <v>694</v>
      </c>
      <c r="T106" s="422" t="s">
        <v>694</v>
      </c>
      <c r="U106" s="422" t="s">
        <v>694</v>
      </c>
      <c r="V106" s="422" t="s">
        <v>694</v>
      </c>
      <c r="W106" s="410"/>
    </row>
    <row r="107" spans="1:23" s="411" customFormat="1" hidden="1" x14ac:dyDescent="0.2">
      <c r="A107" s="700"/>
      <c r="B107" s="713"/>
      <c r="C107" s="422" t="s">
        <v>695</v>
      </c>
      <c r="D107" s="422" t="s">
        <v>695</v>
      </c>
      <c r="E107" s="422" t="s">
        <v>695</v>
      </c>
      <c r="F107" s="422" t="s">
        <v>695</v>
      </c>
      <c r="G107" s="422" t="s">
        <v>695</v>
      </c>
      <c r="H107" s="422" t="s">
        <v>695</v>
      </c>
      <c r="I107" s="422" t="s">
        <v>695</v>
      </c>
      <c r="J107" s="422" t="s">
        <v>695</v>
      </c>
      <c r="K107" s="422" t="s">
        <v>695</v>
      </c>
      <c r="L107" s="422" t="s">
        <v>695</v>
      </c>
      <c r="M107" s="422" t="s">
        <v>695</v>
      </c>
      <c r="N107" s="422" t="s">
        <v>695</v>
      </c>
      <c r="O107" s="422" t="s">
        <v>695</v>
      </c>
      <c r="P107" s="422" t="s">
        <v>695</v>
      </c>
      <c r="Q107" s="422" t="s">
        <v>695</v>
      </c>
      <c r="R107" s="422" t="s">
        <v>695</v>
      </c>
      <c r="S107" s="422" t="s">
        <v>695</v>
      </c>
      <c r="T107" s="422" t="s">
        <v>695</v>
      </c>
      <c r="U107" s="422" t="s">
        <v>695</v>
      </c>
      <c r="V107" s="422" t="s">
        <v>695</v>
      </c>
      <c r="W107" s="410"/>
    </row>
    <row r="108" spans="1:23" s="411" customFormat="1" hidden="1" x14ac:dyDescent="0.2">
      <c r="A108" s="700"/>
      <c r="B108" s="713"/>
      <c r="C108" s="422" t="s">
        <v>738</v>
      </c>
      <c r="D108" s="422" t="s">
        <v>738</v>
      </c>
      <c r="E108" s="422" t="s">
        <v>738</v>
      </c>
      <c r="F108" s="422" t="s">
        <v>738</v>
      </c>
      <c r="G108" s="422" t="s">
        <v>738</v>
      </c>
      <c r="H108" s="422" t="s">
        <v>738</v>
      </c>
      <c r="I108" s="422" t="s">
        <v>738</v>
      </c>
      <c r="J108" s="422" t="s">
        <v>738</v>
      </c>
      <c r="K108" s="422" t="s">
        <v>738</v>
      </c>
      <c r="L108" s="422" t="s">
        <v>738</v>
      </c>
      <c r="M108" s="422" t="s">
        <v>738</v>
      </c>
      <c r="N108" s="422" t="s">
        <v>738</v>
      </c>
      <c r="O108" s="422" t="s">
        <v>738</v>
      </c>
      <c r="P108" s="422" t="s">
        <v>738</v>
      </c>
      <c r="Q108" s="422" t="s">
        <v>738</v>
      </c>
      <c r="R108" s="422" t="s">
        <v>738</v>
      </c>
      <c r="S108" s="422" t="s">
        <v>738</v>
      </c>
      <c r="T108" s="422" t="s">
        <v>738</v>
      </c>
      <c r="U108" s="422" t="s">
        <v>738</v>
      </c>
      <c r="V108" s="422" t="s">
        <v>738</v>
      </c>
      <c r="W108" s="410"/>
    </row>
    <row r="109" spans="1:23" s="411" customFormat="1" hidden="1" x14ac:dyDescent="0.2">
      <c r="A109" s="700"/>
      <c r="B109" s="713"/>
      <c r="C109" s="422" t="s">
        <v>993</v>
      </c>
      <c r="D109" s="422" t="s">
        <v>993</v>
      </c>
      <c r="E109" s="422" t="s">
        <v>993</v>
      </c>
      <c r="F109" s="422" t="s">
        <v>993</v>
      </c>
      <c r="G109" s="422" t="s">
        <v>993</v>
      </c>
      <c r="H109" s="422" t="s">
        <v>993</v>
      </c>
      <c r="I109" s="422" t="s">
        <v>993</v>
      </c>
      <c r="J109" s="422" t="s">
        <v>993</v>
      </c>
      <c r="K109" s="422" t="s">
        <v>993</v>
      </c>
      <c r="L109" s="422" t="s">
        <v>993</v>
      </c>
      <c r="M109" s="422" t="s">
        <v>993</v>
      </c>
      <c r="N109" s="422" t="s">
        <v>993</v>
      </c>
      <c r="O109" s="422" t="s">
        <v>993</v>
      </c>
      <c r="P109" s="422" t="s">
        <v>993</v>
      </c>
      <c r="Q109" s="422" t="s">
        <v>993</v>
      </c>
      <c r="R109" s="422" t="s">
        <v>993</v>
      </c>
      <c r="S109" s="422" t="s">
        <v>993</v>
      </c>
      <c r="T109" s="422" t="s">
        <v>993</v>
      </c>
      <c r="U109" s="422" t="s">
        <v>993</v>
      </c>
      <c r="V109" s="422" t="s">
        <v>993</v>
      </c>
      <c r="W109" s="410"/>
    </row>
    <row r="110" spans="1:23" s="411" customFormat="1" hidden="1" x14ac:dyDescent="0.2">
      <c r="A110" s="700"/>
      <c r="B110" s="713"/>
      <c r="C110" s="422" t="s">
        <v>1069</v>
      </c>
      <c r="D110" s="422" t="s">
        <v>1069</v>
      </c>
      <c r="E110" s="422" t="s">
        <v>1069</v>
      </c>
      <c r="F110" s="422" t="s">
        <v>1069</v>
      </c>
      <c r="G110" s="422" t="s">
        <v>1069</v>
      </c>
      <c r="H110" s="422" t="s">
        <v>1069</v>
      </c>
      <c r="I110" s="422" t="s">
        <v>1069</v>
      </c>
      <c r="J110" s="422" t="s">
        <v>1069</v>
      </c>
      <c r="K110" s="422" t="s">
        <v>1069</v>
      </c>
      <c r="L110" s="422" t="s">
        <v>1069</v>
      </c>
      <c r="M110" s="422" t="s">
        <v>1069</v>
      </c>
      <c r="N110" s="422" t="s">
        <v>1069</v>
      </c>
      <c r="O110" s="422" t="s">
        <v>1069</v>
      </c>
      <c r="P110" s="422" t="s">
        <v>1069</v>
      </c>
      <c r="Q110" s="422" t="s">
        <v>1069</v>
      </c>
      <c r="R110" s="422" t="s">
        <v>1069</v>
      </c>
      <c r="S110" s="422" t="s">
        <v>1069</v>
      </c>
      <c r="T110" s="422" t="s">
        <v>1069</v>
      </c>
      <c r="U110" s="422" t="s">
        <v>1069</v>
      </c>
      <c r="V110" s="422" t="s">
        <v>1069</v>
      </c>
      <c r="W110" s="410"/>
    </row>
    <row r="111" spans="1:23" s="411" customFormat="1" hidden="1" x14ac:dyDescent="0.2">
      <c r="A111" s="700"/>
      <c r="B111" s="713"/>
      <c r="C111" s="422"/>
      <c r="D111" s="422"/>
      <c r="E111" s="422"/>
      <c r="F111" s="422"/>
      <c r="G111" s="422"/>
      <c r="H111" s="422"/>
      <c r="I111" s="422"/>
      <c r="J111" s="422"/>
      <c r="K111" s="422"/>
      <c r="L111" s="422"/>
      <c r="M111" s="422"/>
      <c r="N111" s="422"/>
      <c r="O111" s="422"/>
      <c r="P111" s="422"/>
      <c r="Q111" s="422"/>
      <c r="R111" s="422"/>
      <c r="S111" s="422"/>
      <c r="T111" s="422"/>
      <c r="U111" s="422"/>
      <c r="V111" s="422"/>
      <c r="W111" s="410"/>
    </row>
    <row r="112" spans="1:23" s="411" customFormat="1" hidden="1" x14ac:dyDescent="0.2">
      <c r="A112" s="700"/>
      <c r="B112" s="713"/>
      <c r="C112" s="422" t="s">
        <v>84</v>
      </c>
      <c r="D112" s="422"/>
      <c r="E112" s="422"/>
      <c r="F112" s="422"/>
      <c r="G112" s="422"/>
      <c r="H112" s="422"/>
      <c r="I112" s="422"/>
      <c r="J112" s="422"/>
      <c r="K112" s="422"/>
      <c r="L112" s="422"/>
      <c r="M112" s="422"/>
      <c r="N112" s="422"/>
      <c r="O112" s="422"/>
      <c r="P112" s="422"/>
      <c r="Q112" s="422"/>
      <c r="R112" s="422"/>
      <c r="S112" s="422"/>
      <c r="T112" s="422"/>
      <c r="U112" s="422"/>
      <c r="V112" s="422"/>
      <c r="W112" s="410"/>
    </row>
    <row r="113" spans="1:23" s="411" customFormat="1" hidden="1" x14ac:dyDescent="0.2">
      <c r="A113" s="700"/>
      <c r="B113" s="713"/>
      <c r="C113" s="422" t="s">
        <v>730</v>
      </c>
      <c r="D113" s="422"/>
      <c r="E113" s="422"/>
      <c r="F113" s="422"/>
      <c r="G113" s="422"/>
      <c r="H113" s="422"/>
      <c r="I113" s="422"/>
      <c r="J113" s="422"/>
      <c r="K113" s="422"/>
      <c r="L113" s="422"/>
      <c r="M113" s="422"/>
      <c r="N113" s="422"/>
      <c r="O113" s="422"/>
      <c r="P113" s="422"/>
      <c r="Q113" s="422"/>
      <c r="R113" s="422"/>
      <c r="S113" s="422"/>
      <c r="T113" s="422"/>
      <c r="U113" s="422"/>
      <c r="V113" s="422"/>
      <c r="W113" s="410"/>
    </row>
    <row r="114" spans="1:23" s="411" customFormat="1" hidden="1" x14ac:dyDescent="0.2">
      <c r="A114" s="700"/>
      <c r="B114" s="713"/>
      <c r="C114" s="422" t="s">
        <v>252</v>
      </c>
      <c r="D114" s="422"/>
      <c r="E114" s="422"/>
      <c r="F114" s="422"/>
      <c r="G114" s="422"/>
      <c r="H114" s="422"/>
      <c r="I114" s="422"/>
      <c r="J114" s="422"/>
      <c r="K114" s="422"/>
      <c r="L114" s="422"/>
      <c r="M114" s="422"/>
      <c r="N114" s="422"/>
      <c r="O114" s="422"/>
      <c r="P114" s="422"/>
      <c r="Q114" s="422"/>
      <c r="R114" s="422"/>
      <c r="S114" s="422"/>
      <c r="T114" s="422"/>
      <c r="U114" s="422"/>
      <c r="V114" s="422"/>
      <c r="W114" s="410"/>
    </row>
    <row r="115" spans="1:23" s="411" customFormat="1" hidden="1" x14ac:dyDescent="0.2">
      <c r="A115" s="700"/>
      <c r="B115" s="713"/>
      <c r="C115" s="422" t="s">
        <v>731</v>
      </c>
      <c r="D115" s="422"/>
      <c r="E115" s="422"/>
      <c r="F115" s="422"/>
      <c r="G115" s="422"/>
      <c r="H115" s="422"/>
      <c r="I115" s="422"/>
      <c r="J115" s="422"/>
      <c r="K115" s="422"/>
      <c r="L115" s="422"/>
      <c r="M115" s="422"/>
      <c r="N115" s="422"/>
      <c r="O115" s="422"/>
      <c r="P115" s="422"/>
      <c r="Q115" s="422"/>
      <c r="R115" s="422"/>
      <c r="S115" s="422"/>
      <c r="T115" s="422"/>
      <c r="U115" s="422"/>
      <c r="V115" s="422"/>
      <c r="W115" s="410"/>
    </row>
    <row r="116" spans="1:23" s="411" customFormat="1" hidden="1" x14ac:dyDescent="0.2">
      <c r="A116" s="700"/>
      <c r="B116" s="713"/>
      <c r="C116" s="422" t="s">
        <v>732</v>
      </c>
      <c r="D116" s="422"/>
      <c r="E116" s="422"/>
      <c r="F116" s="422"/>
      <c r="G116" s="422"/>
      <c r="H116" s="422"/>
      <c r="I116" s="422"/>
      <c r="J116" s="422"/>
      <c r="K116" s="422"/>
      <c r="L116" s="422"/>
      <c r="M116" s="422"/>
      <c r="N116" s="422"/>
      <c r="O116" s="422"/>
      <c r="P116" s="422"/>
      <c r="Q116" s="422"/>
      <c r="R116" s="422"/>
      <c r="S116" s="422"/>
      <c r="T116" s="422"/>
      <c r="U116" s="422"/>
      <c r="V116" s="422"/>
      <c r="W116" s="410"/>
    </row>
    <row r="117" spans="1:23" s="411" customFormat="1" hidden="1" x14ac:dyDescent="0.2">
      <c r="A117" s="700"/>
      <c r="B117" s="713"/>
      <c r="C117" s="422" t="s">
        <v>733</v>
      </c>
      <c r="D117" s="422"/>
      <c r="E117" s="422"/>
      <c r="F117" s="422"/>
      <c r="G117" s="422"/>
      <c r="H117" s="422"/>
      <c r="I117" s="422"/>
      <c r="J117" s="422"/>
      <c r="K117" s="422"/>
      <c r="L117" s="422"/>
      <c r="M117" s="422"/>
      <c r="N117" s="422"/>
      <c r="O117" s="422"/>
      <c r="P117" s="422"/>
      <c r="Q117" s="422"/>
      <c r="R117" s="422"/>
      <c r="S117" s="422"/>
      <c r="T117" s="422"/>
      <c r="U117" s="422"/>
      <c r="V117" s="422"/>
      <c r="W117" s="410"/>
    </row>
    <row r="118" spans="1:23" s="411" customFormat="1" hidden="1" x14ac:dyDescent="0.2">
      <c r="A118" s="700"/>
      <c r="B118" s="713"/>
      <c r="C118" s="422" t="s">
        <v>734</v>
      </c>
      <c r="D118" s="422"/>
      <c r="E118" s="422"/>
      <c r="F118" s="422"/>
      <c r="G118" s="422"/>
      <c r="H118" s="422"/>
      <c r="I118" s="422"/>
      <c r="J118" s="422"/>
      <c r="K118" s="422"/>
      <c r="L118" s="422"/>
      <c r="M118" s="422"/>
      <c r="N118" s="422"/>
      <c r="O118" s="422"/>
      <c r="P118" s="422"/>
      <c r="Q118" s="422"/>
      <c r="R118" s="422"/>
      <c r="S118" s="422"/>
      <c r="T118" s="422"/>
      <c r="U118" s="422"/>
      <c r="V118" s="422"/>
      <c r="W118" s="410"/>
    </row>
    <row r="119" spans="1:23" s="411" customFormat="1" hidden="1" x14ac:dyDescent="0.2">
      <c r="A119" s="700"/>
      <c r="B119" s="713"/>
      <c r="C119" s="422" t="s">
        <v>735</v>
      </c>
      <c r="D119" s="422"/>
      <c r="E119" s="422"/>
      <c r="F119" s="422"/>
      <c r="G119" s="422"/>
      <c r="H119" s="422"/>
      <c r="I119" s="422"/>
      <c r="J119" s="422"/>
      <c r="K119" s="422"/>
      <c r="L119" s="422"/>
      <c r="M119" s="422"/>
      <c r="N119" s="422"/>
      <c r="O119" s="422"/>
      <c r="P119" s="422"/>
      <c r="Q119" s="422"/>
      <c r="R119" s="422"/>
      <c r="S119" s="422"/>
      <c r="T119" s="422"/>
      <c r="U119" s="422"/>
      <c r="V119" s="422"/>
      <c r="W119" s="410"/>
    </row>
    <row r="120" spans="1:23" s="411" customFormat="1" hidden="1" x14ac:dyDescent="0.2">
      <c r="A120" s="700"/>
      <c r="B120" s="713"/>
      <c r="C120" s="422" t="s">
        <v>736</v>
      </c>
      <c r="D120" s="422"/>
      <c r="E120" s="422"/>
      <c r="F120" s="422"/>
      <c r="G120" s="422"/>
      <c r="H120" s="422"/>
      <c r="I120" s="422"/>
      <c r="J120" s="422"/>
      <c r="K120" s="422"/>
      <c r="L120" s="422"/>
      <c r="M120" s="422"/>
      <c r="N120" s="422"/>
      <c r="O120" s="422"/>
      <c r="P120" s="422"/>
      <c r="Q120" s="422"/>
      <c r="R120" s="422"/>
      <c r="S120" s="422"/>
      <c r="T120" s="422"/>
      <c r="U120" s="422"/>
      <c r="V120" s="422"/>
      <c r="W120" s="410"/>
    </row>
    <row r="121" spans="1:23" s="411" customFormat="1" hidden="1" x14ac:dyDescent="0.2">
      <c r="A121" s="700"/>
      <c r="B121" s="713"/>
      <c r="C121" s="422" t="s">
        <v>737</v>
      </c>
      <c r="D121" s="422"/>
      <c r="E121" s="422"/>
      <c r="F121" s="422"/>
      <c r="G121" s="422"/>
      <c r="H121" s="422"/>
      <c r="I121" s="422"/>
      <c r="J121" s="422"/>
      <c r="K121" s="422"/>
      <c r="L121" s="422"/>
      <c r="M121" s="422"/>
      <c r="N121" s="422"/>
      <c r="O121" s="422"/>
      <c r="P121" s="422"/>
      <c r="Q121" s="422"/>
      <c r="R121" s="422"/>
      <c r="S121" s="422"/>
      <c r="T121" s="422"/>
      <c r="U121" s="422"/>
      <c r="V121" s="422"/>
      <c r="W121" s="410"/>
    </row>
    <row r="122" spans="1:23" s="411" customFormat="1" hidden="1" x14ac:dyDescent="0.2">
      <c r="A122" s="700"/>
      <c r="B122" s="713"/>
      <c r="C122" s="422" t="s">
        <v>728</v>
      </c>
      <c r="D122" s="422"/>
      <c r="E122" s="422"/>
      <c r="F122" s="422"/>
      <c r="G122" s="422"/>
      <c r="H122" s="422"/>
      <c r="I122" s="422"/>
      <c r="J122" s="422"/>
      <c r="K122" s="422"/>
      <c r="L122" s="422"/>
      <c r="M122" s="422"/>
      <c r="N122" s="422"/>
      <c r="O122" s="422"/>
      <c r="P122" s="422"/>
      <c r="Q122" s="422"/>
      <c r="R122" s="422"/>
      <c r="S122" s="422"/>
      <c r="T122" s="422"/>
      <c r="U122" s="422"/>
      <c r="V122" s="422"/>
      <c r="W122" s="410"/>
    </row>
    <row r="123" spans="1:23" s="411" customFormat="1" hidden="1" x14ac:dyDescent="0.2">
      <c r="A123" s="700"/>
      <c r="B123" s="713"/>
      <c r="C123" s="422" t="s">
        <v>729</v>
      </c>
      <c r="D123" s="422"/>
      <c r="E123" s="422"/>
      <c r="F123" s="422"/>
      <c r="G123" s="422"/>
      <c r="H123" s="422"/>
      <c r="I123" s="422"/>
      <c r="J123" s="422"/>
      <c r="K123" s="422"/>
      <c r="L123" s="422"/>
      <c r="M123" s="422"/>
      <c r="N123" s="422"/>
      <c r="O123" s="422"/>
      <c r="P123" s="422"/>
      <c r="Q123" s="422"/>
      <c r="R123" s="422"/>
      <c r="S123" s="422"/>
      <c r="T123" s="422"/>
      <c r="U123" s="422"/>
      <c r="V123" s="422"/>
      <c r="W123" s="410"/>
    </row>
    <row r="124" spans="1:23" s="411" customFormat="1" hidden="1" x14ac:dyDescent="0.2">
      <c r="A124" s="700"/>
      <c r="B124" s="713"/>
      <c r="C124" s="422"/>
      <c r="D124" s="422"/>
      <c r="E124" s="422"/>
      <c r="F124" s="422"/>
      <c r="G124" s="422"/>
      <c r="H124" s="422"/>
      <c r="I124" s="422"/>
      <c r="J124" s="422"/>
      <c r="K124" s="422"/>
      <c r="L124" s="422"/>
      <c r="M124" s="422"/>
      <c r="N124" s="422"/>
      <c r="O124" s="422"/>
      <c r="P124" s="422"/>
      <c r="Q124" s="422"/>
      <c r="R124" s="422"/>
      <c r="S124" s="422"/>
      <c r="T124" s="422"/>
      <c r="U124" s="422"/>
      <c r="V124" s="422"/>
      <c r="W124" s="410"/>
    </row>
    <row r="125" spans="1:23" s="411" customFormat="1" hidden="1" x14ac:dyDescent="0.2">
      <c r="A125" s="700"/>
      <c r="B125" s="713"/>
      <c r="C125" s="422"/>
      <c r="D125" s="422"/>
      <c r="E125" s="422"/>
      <c r="F125" s="422"/>
      <c r="G125" s="422"/>
      <c r="H125" s="422"/>
      <c r="I125" s="422"/>
      <c r="J125" s="422"/>
      <c r="K125" s="422"/>
      <c r="L125" s="422"/>
      <c r="M125" s="422"/>
      <c r="N125" s="422"/>
      <c r="O125" s="422"/>
      <c r="P125" s="422"/>
      <c r="Q125" s="422"/>
      <c r="R125" s="422"/>
      <c r="S125" s="422"/>
      <c r="T125" s="422"/>
      <c r="U125" s="422"/>
      <c r="V125" s="422"/>
      <c r="W125" s="410"/>
    </row>
    <row r="126" spans="1:23" s="411" customFormat="1" hidden="1" x14ac:dyDescent="0.2">
      <c r="A126" s="700"/>
      <c r="B126" s="713"/>
      <c r="C126" s="422"/>
      <c r="D126" s="422"/>
      <c r="E126" s="422"/>
      <c r="F126" s="422"/>
      <c r="G126" s="422"/>
      <c r="H126" s="422"/>
      <c r="I126" s="422"/>
      <c r="J126" s="422"/>
      <c r="K126" s="422"/>
      <c r="L126" s="422"/>
      <c r="M126" s="422"/>
      <c r="N126" s="422"/>
      <c r="O126" s="422"/>
      <c r="P126" s="422"/>
      <c r="Q126" s="422"/>
      <c r="R126" s="422"/>
      <c r="S126" s="422"/>
      <c r="T126" s="422"/>
      <c r="U126" s="422"/>
      <c r="V126" s="422"/>
      <c r="W126" s="410"/>
    </row>
    <row r="127" spans="1:23" s="411" customFormat="1" hidden="1" x14ac:dyDescent="0.2">
      <c r="A127" s="700"/>
      <c r="B127" s="714" t="s">
        <v>96</v>
      </c>
      <c r="C127" s="423"/>
      <c r="D127" s="423"/>
      <c r="E127" s="423"/>
      <c r="F127" s="423"/>
      <c r="G127" s="423"/>
      <c r="H127" s="423"/>
      <c r="I127" s="423"/>
      <c r="J127" s="423"/>
      <c r="K127" s="423"/>
      <c r="L127" s="423"/>
      <c r="M127" s="423"/>
      <c r="N127" s="423"/>
      <c r="O127" s="423"/>
      <c r="P127" s="423"/>
      <c r="Q127" s="423"/>
      <c r="R127" s="423"/>
      <c r="S127" s="423"/>
      <c r="T127" s="423"/>
      <c r="U127" s="423"/>
      <c r="V127" s="423"/>
      <c r="W127" s="410"/>
    </row>
    <row r="128" spans="1:23" s="411" customFormat="1" hidden="1" x14ac:dyDescent="0.2">
      <c r="A128" s="700">
        <v>20</v>
      </c>
      <c r="B128" s="706" t="s">
        <v>88</v>
      </c>
      <c r="C128" s="424" t="s">
        <v>89</v>
      </c>
      <c r="D128" s="424" t="s">
        <v>90</v>
      </c>
      <c r="E128" s="424" t="s">
        <v>91</v>
      </c>
      <c r="F128" s="424" t="s">
        <v>92</v>
      </c>
      <c r="G128" s="424" t="s">
        <v>93</v>
      </c>
      <c r="H128" s="424" t="s">
        <v>94</v>
      </c>
      <c r="I128" s="424" t="s">
        <v>95</v>
      </c>
      <c r="J128" s="424" t="s">
        <v>214</v>
      </c>
      <c r="K128" s="424" t="s">
        <v>215</v>
      </c>
      <c r="L128" s="424" t="s">
        <v>216</v>
      </c>
      <c r="M128" s="424" t="s">
        <v>217</v>
      </c>
      <c r="N128" s="424" t="s">
        <v>218</v>
      </c>
      <c r="O128" s="424" t="s">
        <v>219</v>
      </c>
      <c r="P128" s="424" t="s">
        <v>220</v>
      </c>
      <c r="Q128" s="424" t="s">
        <v>1063</v>
      </c>
      <c r="R128" s="424" t="s">
        <v>1064</v>
      </c>
      <c r="S128" s="424" t="s">
        <v>1065</v>
      </c>
      <c r="T128" s="424" t="s">
        <v>1066</v>
      </c>
      <c r="U128" s="424" t="s">
        <v>1067</v>
      </c>
      <c r="V128" s="424" t="s">
        <v>1068</v>
      </c>
      <c r="W128" s="410"/>
    </row>
    <row r="129" spans="1:23" s="411" customFormat="1" hidden="1" x14ac:dyDescent="0.2">
      <c r="A129" s="700">
        <v>21</v>
      </c>
      <c r="B129" s="715" t="s">
        <v>747</v>
      </c>
      <c r="C129" s="425">
        <v>0.7</v>
      </c>
      <c r="D129" s="425">
        <v>0.7</v>
      </c>
      <c r="E129" s="425">
        <v>0.7</v>
      </c>
      <c r="F129" s="425">
        <v>0.7</v>
      </c>
      <c r="G129" s="425">
        <v>0.75</v>
      </c>
      <c r="H129" s="425">
        <v>0.8</v>
      </c>
      <c r="I129" s="425">
        <v>0.85</v>
      </c>
      <c r="J129" s="425">
        <v>0.9</v>
      </c>
      <c r="K129" s="425">
        <v>0.9</v>
      </c>
      <c r="L129" s="425">
        <v>0.9</v>
      </c>
      <c r="M129" s="425">
        <v>0.9</v>
      </c>
      <c r="N129" s="425"/>
      <c r="O129" s="425"/>
      <c r="P129" s="425"/>
      <c r="Q129" s="425"/>
      <c r="R129" s="425"/>
      <c r="S129" s="425"/>
      <c r="T129" s="425"/>
      <c r="U129" s="425"/>
      <c r="V129" s="425"/>
      <c r="W129" s="410"/>
    </row>
    <row r="130" spans="1:23" s="411" customFormat="1" hidden="1" x14ac:dyDescent="0.2">
      <c r="A130" s="700"/>
      <c r="B130" s="714" t="s">
        <v>697</v>
      </c>
      <c r="C130" s="423"/>
      <c r="D130" s="423"/>
      <c r="E130" s="423"/>
      <c r="F130" s="423"/>
      <c r="G130" s="423"/>
      <c r="H130" s="423"/>
      <c r="I130" s="423"/>
      <c r="J130" s="423"/>
      <c r="K130" s="423"/>
      <c r="L130" s="423"/>
      <c r="M130" s="423"/>
      <c r="N130" s="423"/>
      <c r="O130" s="423"/>
      <c r="P130" s="423"/>
      <c r="Q130" s="423"/>
      <c r="R130" s="423"/>
      <c r="S130" s="423"/>
      <c r="T130" s="423"/>
      <c r="U130" s="423"/>
      <c r="V130" s="423"/>
      <c r="W130" s="410"/>
    </row>
    <row r="131" spans="1:23" s="411" customFormat="1" hidden="1" x14ac:dyDescent="0.2">
      <c r="A131" s="700">
        <v>22</v>
      </c>
      <c r="B131" s="715" t="s">
        <v>698</v>
      </c>
      <c r="C131" s="426"/>
      <c r="D131" s="1041" t="s">
        <v>152</v>
      </c>
      <c r="E131" s="1042"/>
      <c r="F131" s="1042"/>
      <c r="G131" s="1042"/>
      <c r="H131" s="1042"/>
      <c r="I131" s="423"/>
      <c r="J131" s="423"/>
      <c r="K131" s="423"/>
      <c r="L131" s="423"/>
      <c r="M131" s="423"/>
      <c r="N131" s="423"/>
      <c r="O131" s="423"/>
      <c r="P131" s="423"/>
      <c r="Q131" s="423"/>
      <c r="R131" s="423"/>
      <c r="S131" s="423"/>
      <c r="T131" s="423"/>
      <c r="U131" s="423"/>
      <c r="V131" s="423"/>
      <c r="W131" s="410"/>
    </row>
    <row r="132" spans="1:23" s="411" customFormat="1" hidden="1" x14ac:dyDescent="0.2">
      <c r="A132" s="700">
        <v>23</v>
      </c>
      <c r="B132" s="715" t="s">
        <v>699</v>
      </c>
      <c r="C132" s="426"/>
      <c r="D132" s="1041" t="s">
        <v>152</v>
      </c>
      <c r="E132" s="1042"/>
      <c r="F132" s="1042"/>
      <c r="G132" s="1042"/>
      <c r="H132" s="1042"/>
      <c r="I132" s="423"/>
      <c r="J132" s="423"/>
      <c r="K132" s="423"/>
      <c r="L132" s="423"/>
      <c r="M132" s="423"/>
      <c r="N132" s="423"/>
      <c r="O132" s="423"/>
      <c r="P132" s="423"/>
      <c r="Q132" s="423"/>
      <c r="R132" s="423"/>
      <c r="S132" s="423"/>
      <c r="T132" s="423"/>
      <c r="U132" s="423"/>
      <c r="V132" s="423"/>
      <c r="W132" s="410"/>
    </row>
    <row r="133" spans="1:23" s="411" customFormat="1" hidden="1" x14ac:dyDescent="0.2">
      <c r="A133" s="700">
        <v>24</v>
      </c>
      <c r="B133" s="715" t="s">
        <v>700</v>
      </c>
      <c r="C133" s="426"/>
      <c r="D133" s="1041" t="s">
        <v>152</v>
      </c>
      <c r="E133" s="1042"/>
      <c r="F133" s="1042"/>
      <c r="G133" s="1042"/>
      <c r="H133" s="1042"/>
      <c r="I133" s="423"/>
      <c r="J133" s="423"/>
      <c r="K133" s="423"/>
      <c r="L133" s="423"/>
      <c r="M133" s="423"/>
      <c r="N133" s="423"/>
      <c r="O133" s="423"/>
      <c r="P133" s="423"/>
      <c r="Q133" s="423"/>
      <c r="R133" s="423"/>
      <c r="S133" s="423"/>
      <c r="T133" s="423"/>
      <c r="U133" s="423"/>
      <c r="V133" s="423"/>
      <c r="W133" s="410"/>
    </row>
    <row r="134" spans="1:23" s="411" customFormat="1" hidden="1" x14ac:dyDescent="0.2">
      <c r="A134" s="700">
        <v>25</v>
      </c>
      <c r="B134" s="715" t="s">
        <v>701</v>
      </c>
      <c r="C134" s="426"/>
      <c r="D134" s="1041" t="s">
        <v>152</v>
      </c>
      <c r="E134" s="1042"/>
      <c r="F134" s="1042"/>
      <c r="G134" s="1042"/>
      <c r="H134" s="1042"/>
      <c r="I134" s="423"/>
      <c r="J134" s="423"/>
      <c r="K134" s="423"/>
      <c r="L134" s="423"/>
      <c r="M134" s="423"/>
      <c r="N134" s="423"/>
      <c r="O134" s="423"/>
      <c r="P134" s="423"/>
      <c r="Q134" s="423"/>
      <c r="R134" s="423"/>
      <c r="S134" s="423"/>
      <c r="T134" s="423"/>
      <c r="U134" s="423"/>
      <c r="V134" s="423"/>
      <c r="W134" s="410"/>
    </row>
    <row r="135" spans="1:23" s="411" customFormat="1" hidden="1" x14ac:dyDescent="0.2">
      <c r="A135" s="700">
        <v>26</v>
      </c>
      <c r="B135" s="715" t="s">
        <v>702</v>
      </c>
      <c r="C135" s="427" t="s">
        <v>593</v>
      </c>
      <c r="D135" s="427" t="s">
        <v>593</v>
      </c>
      <c r="E135" s="427" t="s">
        <v>593</v>
      </c>
      <c r="F135" s="427" t="s">
        <v>593</v>
      </c>
      <c r="G135" s="427" t="s">
        <v>593</v>
      </c>
      <c r="H135" s="427" t="s">
        <v>593</v>
      </c>
      <c r="I135" s="423"/>
      <c r="J135" s="423"/>
      <c r="K135" s="423"/>
      <c r="L135" s="423"/>
      <c r="M135" s="423"/>
      <c r="N135" s="423"/>
      <c r="O135" s="423"/>
      <c r="P135" s="423"/>
      <c r="Q135" s="423"/>
      <c r="R135" s="423"/>
      <c r="S135" s="423"/>
      <c r="T135" s="423"/>
      <c r="U135" s="423"/>
      <c r="V135" s="423"/>
      <c r="W135" s="410"/>
    </row>
    <row r="136" spans="1:23" s="411" customFormat="1" hidden="1" x14ac:dyDescent="0.2">
      <c r="A136" s="700"/>
      <c r="B136" s="716"/>
      <c r="C136" s="428"/>
      <c r="D136" s="429"/>
      <c r="E136" s="429"/>
      <c r="F136" s="429"/>
      <c r="G136" s="429"/>
      <c r="H136" s="429"/>
      <c r="I136" s="423"/>
      <c r="J136" s="423"/>
      <c r="K136" s="423"/>
      <c r="L136" s="423"/>
      <c r="M136" s="423"/>
      <c r="N136" s="423"/>
      <c r="O136" s="423"/>
      <c r="P136" s="423"/>
      <c r="Q136" s="423"/>
      <c r="R136" s="423"/>
      <c r="S136" s="423"/>
      <c r="T136" s="423"/>
      <c r="U136" s="423"/>
      <c r="V136" s="423"/>
      <c r="W136" s="410"/>
    </row>
    <row r="137" spans="1:23" s="411" customFormat="1" hidden="1" x14ac:dyDescent="0.2">
      <c r="A137" s="700"/>
      <c r="B137" s="714" t="s">
        <v>703</v>
      </c>
      <c r="C137" s="423"/>
      <c r="D137" s="423"/>
      <c r="E137" s="423"/>
      <c r="F137" s="423"/>
      <c r="G137" s="423"/>
      <c r="H137" s="423"/>
      <c r="I137" s="423"/>
      <c r="J137" s="423"/>
      <c r="K137" s="423"/>
      <c r="L137" s="423"/>
      <c r="M137" s="423"/>
      <c r="N137" s="423"/>
      <c r="O137" s="423"/>
      <c r="P137" s="423"/>
      <c r="Q137" s="423"/>
      <c r="R137" s="423"/>
      <c r="S137" s="423"/>
      <c r="T137" s="423"/>
      <c r="U137" s="423"/>
      <c r="V137" s="423"/>
      <c r="W137" s="410"/>
    </row>
    <row r="138" spans="1:23" s="411" customFormat="1" hidden="1" x14ac:dyDescent="0.2">
      <c r="A138" s="700">
        <v>27</v>
      </c>
      <c r="B138" s="717" t="s">
        <v>153</v>
      </c>
      <c r="C138" s="2" t="s">
        <v>593</v>
      </c>
      <c r="D138" s="1037" t="s">
        <v>154</v>
      </c>
      <c r="E138" s="1031"/>
      <c r="F138" s="1031"/>
      <c r="G138" s="1031"/>
      <c r="H138" s="1031"/>
      <c r="I138" s="1031"/>
      <c r="J138" s="431"/>
      <c r="K138" s="431"/>
      <c r="L138" s="431"/>
      <c r="M138" s="431"/>
      <c r="N138" s="431"/>
      <c r="O138" s="431"/>
      <c r="P138" s="431"/>
      <c r="Q138" s="431"/>
      <c r="R138" s="431"/>
      <c r="S138" s="431"/>
      <c r="T138" s="431"/>
      <c r="U138" s="431"/>
      <c r="V138" s="431"/>
      <c r="W138" s="410"/>
    </row>
    <row r="139" spans="1:23" s="411" customFormat="1" hidden="1" x14ac:dyDescent="0.2">
      <c r="A139" s="700"/>
      <c r="B139" s="718" t="s">
        <v>155</v>
      </c>
      <c r="C139" s="417"/>
      <c r="D139" s="430"/>
      <c r="E139" s="431"/>
      <c r="F139" s="431"/>
      <c r="G139" s="431"/>
      <c r="H139" s="431"/>
      <c r="I139" s="431"/>
      <c r="J139" s="431"/>
      <c r="K139" s="431"/>
      <c r="L139" s="431"/>
      <c r="M139" s="431"/>
      <c r="N139" s="431"/>
      <c r="O139" s="431"/>
      <c r="P139" s="431"/>
      <c r="Q139" s="431"/>
      <c r="R139" s="431"/>
      <c r="S139" s="431"/>
      <c r="T139" s="431"/>
      <c r="U139" s="431"/>
      <c r="V139" s="431"/>
      <c r="W139" s="410"/>
    </row>
    <row r="140" spans="1:23" s="411" customFormat="1" hidden="1" x14ac:dyDescent="0.2">
      <c r="A140" s="700"/>
      <c r="B140" s="695"/>
      <c r="C140" s="432" t="s">
        <v>156</v>
      </c>
      <c r="D140" s="432" t="s">
        <v>704</v>
      </c>
      <c r="E140" s="432" t="s">
        <v>157</v>
      </c>
      <c r="F140" s="432" t="s">
        <v>158</v>
      </c>
      <c r="G140" s="433" t="s">
        <v>705</v>
      </c>
      <c r="H140" s="434" t="s">
        <v>159</v>
      </c>
      <c r="I140" s="435"/>
      <c r="J140" s="417"/>
      <c r="K140" s="417"/>
      <c r="L140" s="417"/>
      <c r="M140" s="417"/>
      <c r="N140" s="417"/>
      <c r="O140" s="417"/>
      <c r="P140" s="417"/>
      <c r="Q140" s="417"/>
      <c r="R140" s="417"/>
      <c r="S140" s="417"/>
      <c r="T140" s="417"/>
      <c r="U140" s="417"/>
      <c r="V140" s="417"/>
      <c r="W140" s="410"/>
    </row>
    <row r="141" spans="1:23" s="411" customFormat="1" hidden="1" x14ac:dyDescent="0.2">
      <c r="A141" s="700">
        <v>28</v>
      </c>
      <c r="B141" s="719" t="s">
        <v>160</v>
      </c>
      <c r="C141" s="436" t="s">
        <v>593</v>
      </c>
      <c r="D141" s="436" t="s">
        <v>593</v>
      </c>
      <c r="E141" s="436" t="s">
        <v>593</v>
      </c>
      <c r="F141" s="436" t="s">
        <v>593</v>
      </c>
      <c r="G141" s="436" t="s">
        <v>593</v>
      </c>
      <c r="H141" s="436" t="s">
        <v>593</v>
      </c>
      <c r="I141" s="437"/>
      <c r="J141" s="438"/>
      <c r="K141" s="438"/>
      <c r="L141" s="438"/>
      <c r="M141" s="438"/>
      <c r="N141" s="438"/>
      <c r="O141" s="438"/>
      <c r="P141" s="438"/>
      <c r="Q141" s="438"/>
      <c r="R141" s="438"/>
      <c r="S141" s="438"/>
      <c r="T141" s="438"/>
      <c r="U141" s="438"/>
      <c r="V141" s="438"/>
      <c r="W141" s="410"/>
    </row>
    <row r="142" spans="1:23" s="411" customFormat="1" hidden="1" x14ac:dyDescent="0.2">
      <c r="A142" s="700"/>
      <c r="B142" s="695"/>
      <c r="C142" s="1038" t="s">
        <v>161</v>
      </c>
      <c r="D142" s="1038"/>
      <c r="E142" s="1039" t="s">
        <v>706</v>
      </c>
      <c r="F142" s="1040"/>
      <c r="G142" s="428"/>
      <c r="H142" s="439"/>
      <c r="I142" s="438"/>
      <c r="J142" s="438"/>
      <c r="K142" s="438"/>
      <c r="L142" s="438"/>
      <c r="M142" s="438"/>
      <c r="N142" s="438"/>
      <c r="O142" s="438"/>
      <c r="P142" s="438"/>
      <c r="Q142" s="438"/>
      <c r="R142" s="438"/>
      <c r="S142" s="438"/>
      <c r="T142" s="438"/>
      <c r="U142" s="438"/>
      <c r="V142" s="438"/>
      <c r="W142" s="410"/>
    </row>
    <row r="143" spans="1:23" s="411" customFormat="1" hidden="1" x14ac:dyDescent="0.2">
      <c r="A143" s="700">
        <v>29</v>
      </c>
      <c r="B143" s="720" t="s">
        <v>160</v>
      </c>
      <c r="C143" s="1059" t="s">
        <v>593</v>
      </c>
      <c r="D143" s="1059"/>
      <c r="E143" s="1057" t="s">
        <v>593</v>
      </c>
      <c r="F143" s="1058"/>
      <c r="G143" s="428"/>
      <c r="H143" s="439"/>
      <c r="I143" s="438"/>
      <c r="J143" s="438"/>
      <c r="K143" s="438"/>
      <c r="L143" s="438"/>
      <c r="M143" s="438"/>
      <c r="N143" s="438"/>
      <c r="O143" s="438"/>
      <c r="P143" s="438"/>
      <c r="Q143" s="438"/>
      <c r="R143" s="438"/>
      <c r="S143" s="438"/>
      <c r="T143" s="438"/>
      <c r="U143" s="438"/>
      <c r="V143" s="438"/>
      <c r="W143" s="410"/>
    </row>
    <row r="144" spans="1:23" s="411" customFormat="1" hidden="1" x14ac:dyDescent="0.2">
      <c r="A144" s="700"/>
      <c r="B144" s="695"/>
      <c r="C144" s="440"/>
      <c r="D144" s="440"/>
      <c r="E144" s="440"/>
      <c r="F144" s="440"/>
      <c r="G144" s="428"/>
      <c r="H144" s="439"/>
      <c r="I144" s="438"/>
      <c r="J144" s="438"/>
      <c r="K144" s="438"/>
      <c r="L144" s="438"/>
      <c r="M144" s="438"/>
      <c r="N144" s="438"/>
      <c r="O144" s="438"/>
      <c r="P144" s="438"/>
      <c r="Q144" s="438"/>
      <c r="R144" s="438"/>
      <c r="S144" s="438"/>
      <c r="T144" s="438"/>
      <c r="U144" s="438"/>
      <c r="V144" s="438"/>
      <c r="W144" s="410"/>
    </row>
    <row r="145" spans="1:23" s="411" customFormat="1" hidden="1" x14ac:dyDescent="0.2">
      <c r="A145" s="700"/>
      <c r="B145" s="718" t="s">
        <v>707</v>
      </c>
      <c r="C145" s="1060" t="s">
        <v>162</v>
      </c>
      <c r="D145" s="1060"/>
      <c r="E145" s="1061" t="s">
        <v>708</v>
      </c>
      <c r="F145" s="1062"/>
      <c r="G145" s="428"/>
      <c r="H145" s="439"/>
      <c r="I145" s="438"/>
      <c r="J145" s="438"/>
      <c r="K145" s="438"/>
      <c r="L145" s="438"/>
      <c r="M145" s="438"/>
      <c r="N145" s="438"/>
      <c r="O145" s="438"/>
      <c r="P145" s="438"/>
      <c r="Q145" s="438"/>
      <c r="R145" s="438"/>
      <c r="S145" s="438"/>
      <c r="T145" s="438"/>
      <c r="U145" s="438"/>
      <c r="V145" s="438"/>
      <c r="W145" s="410"/>
    </row>
    <row r="146" spans="1:23" s="411" customFormat="1" hidden="1" x14ac:dyDescent="0.2">
      <c r="A146" s="700">
        <v>30</v>
      </c>
      <c r="B146" s="721" t="s">
        <v>163</v>
      </c>
      <c r="C146" s="1032" t="s">
        <v>593</v>
      </c>
      <c r="D146" s="1032"/>
      <c r="E146" s="1057" t="s">
        <v>593</v>
      </c>
      <c r="F146" s="1058"/>
      <c r="G146" s="428"/>
      <c r="H146" s="439"/>
      <c r="I146" s="438"/>
      <c r="J146" s="438"/>
      <c r="K146" s="438"/>
      <c r="L146" s="438"/>
      <c r="M146" s="438"/>
      <c r="N146" s="438"/>
      <c r="O146" s="438"/>
      <c r="P146" s="438"/>
      <c r="Q146" s="438"/>
      <c r="R146" s="438"/>
      <c r="S146" s="438"/>
      <c r="T146" s="438"/>
      <c r="U146" s="438"/>
      <c r="V146" s="438"/>
      <c r="W146" s="410"/>
    </row>
    <row r="147" spans="1:23" s="411" customFormat="1" hidden="1" x14ac:dyDescent="0.2">
      <c r="A147" s="700">
        <v>31</v>
      </c>
      <c r="B147" s="720" t="s">
        <v>709</v>
      </c>
      <c r="C147" s="1032" t="s">
        <v>593</v>
      </c>
      <c r="D147" s="1032"/>
      <c r="E147" s="1057" t="s">
        <v>593</v>
      </c>
      <c r="F147" s="1058"/>
      <c r="G147" s="428"/>
      <c r="H147" s="439"/>
      <c r="I147" s="438"/>
      <c r="J147" s="438"/>
      <c r="K147" s="438"/>
      <c r="L147" s="438"/>
      <c r="M147" s="438"/>
      <c r="N147" s="438"/>
      <c r="O147" s="438"/>
      <c r="P147" s="438"/>
      <c r="Q147" s="438"/>
      <c r="R147" s="438"/>
      <c r="S147" s="438"/>
      <c r="T147" s="438"/>
      <c r="U147" s="438"/>
      <c r="V147" s="438"/>
      <c r="W147" s="410"/>
    </row>
    <row r="148" spans="1:23" s="411" customFormat="1" hidden="1" x14ac:dyDescent="0.2">
      <c r="A148" s="700">
        <v>32</v>
      </c>
      <c r="B148" s="720" t="s">
        <v>710</v>
      </c>
      <c r="C148" s="1032" t="s">
        <v>593</v>
      </c>
      <c r="D148" s="1032"/>
      <c r="E148" s="1057" t="s">
        <v>593</v>
      </c>
      <c r="F148" s="1058"/>
      <c r="G148" s="428"/>
      <c r="H148" s="439"/>
      <c r="I148" s="438"/>
      <c r="J148" s="438"/>
      <c r="K148" s="438"/>
      <c r="L148" s="438"/>
      <c r="M148" s="438"/>
      <c r="N148" s="438"/>
      <c r="O148" s="438"/>
      <c r="P148" s="438"/>
      <c r="Q148" s="438"/>
      <c r="R148" s="438"/>
      <c r="S148" s="438"/>
      <c r="T148" s="438"/>
      <c r="U148" s="438"/>
      <c r="V148" s="438"/>
      <c r="W148" s="410"/>
    </row>
    <row r="149" spans="1:23" s="411" customFormat="1" hidden="1" x14ac:dyDescent="0.2">
      <c r="A149" s="700"/>
      <c r="B149" s="718" t="s">
        <v>164</v>
      </c>
      <c r="C149" s="439"/>
      <c r="D149" s="439"/>
      <c r="E149" s="439"/>
      <c r="F149" s="439"/>
      <c r="G149" s="428"/>
      <c r="H149" s="439"/>
      <c r="I149" s="438"/>
      <c r="J149" s="438"/>
      <c r="K149" s="438"/>
      <c r="L149" s="438"/>
      <c r="M149" s="438"/>
      <c r="N149" s="438"/>
      <c r="O149" s="438"/>
      <c r="P149" s="438"/>
      <c r="Q149" s="438"/>
      <c r="R149" s="438"/>
      <c r="S149" s="438"/>
      <c r="T149" s="438"/>
      <c r="U149" s="438"/>
      <c r="V149" s="438"/>
      <c r="W149" s="410"/>
    </row>
    <row r="150" spans="1:23" s="411" customFormat="1" hidden="1" x14ac:dyDescent="0.2">
      <c r="A150" s="700">
        <v>33</v>
      </c>
      <c r="B150" s="720" t="s">
        <v>711</v>
      </c>
      <c r="C150" s="441" t="s">
        <v>593</v>
      </c>
      <c r="D150" s="1030" t="s">
        <v>712</v>
      </c>
      <c r="E150" s="1031"/>
      <c r="F150" s="1031"/>
      <c r="G150" s="1031"/>
      <c r="H150" s="1031"/>
      <c r="I150" s="1031"/>
      <c r="J150" s="431"/>
      <c r="K150" s="431"/>
      <c r="L150" s="431"/>
      <c r="M150" s="431"/>
      <c r="N150" s="431"/>
      <c r="O150" s="431"/>
      <c r="P150" s="431"/>
      <c r="Q150" s="431"/>
      <c r="R150" s="431"/>
      <c r="S150" s="431"/>
      <c r="T150" s="431"/>
      <c r="U150" s="431"/>
      <c r="V150" s="431"/>
      <c r="W150" s="410"/>
    </row>
    <row r="151" spans="1:23" s="411" customFormat="1" hidden="1" x14ac:dyDescent="0.2">
      <c r="A151" s="700">
        <v>34</v>
      </c>
      <c r="B151" s="721" t="s">
        <v>713</v>
      </c>
      <c r="C151" s="441" t="s">
        <v>593</v>
      </c>
      <c r="D151" s="1033" t="s">
        <v>7</v>
      </c>
      <c r="E151" s="1031"/>
      <c r="F151" s="1031"/>
      <c r="G151" s="1031"/>
      <c r="H151" s="1031"/>
      <c r="I151" s="1031"/>
      <c r="J151" s="431"/>
      <c r="K151" s="431"/>
      <c r="L151" s="431"/>
      <c r="M151" s="431"/>
      <c r="N151" s="431"/>
      <c r="O151" s="431"/>
      <c r="P151" s="431"/>
      <c r="Q151" s="431"/>
      <c r="R151" s="431"/>
      <c r="S151" s="431"/>
      <c r="T151" s="431"/>
      <c r="U151" s="431"/>
      <c r="V151" s="431"/>
      <c r="W151" s="410"/>
    </row>
    <row r="152" spans="1:23" s="411" customFormat="1" hidden="1" x14ac:dyDescent="0.2">
      <c r="A152" s="700">
        <v>35</v>
      </c>
      <c r="B152" s="720" t="s">
        <v>714</v>
      </c>
      <c r="C152" s="441" t="s">
        <v>593</v>
      </c>
      <c r="D152" s="1033" t="s">
        <v>7</v>
      </c>
      <c r="E152" s="1031"/>
      <c r="F152" s="1031"/>
      <c r="G152" s="1031"/>
      <c r="H152" s="1031"/>
      <c r="I152" s="1031"/>
      <c r="J152" s="431"/>
      <c r="K152" s="431"/>
      <c r="L152" s="431"/>
      <c r="M152" s="431"/>
      <c r="N152" s="431"/>
      <c r="O152" s="431"/>
      <c r="P152" s="431"/>
      <c r="Q152" s="431"/>
      <c r="R152" s="431"/>
      <c r="S152" s="431"/>
      <c r="T152" s="431"/>
      <c r="U152" s="431"/>
      <c r="V152" s="431"/>
      <c r="W152" s="410"/>
    </row>
    <row r="153" spans="1:23" s="411" customFormat="1" hidden="1" x14ac:dyDescent="0.2">
      <c r="A153" s="700">
        <v>36</v>
      </c>
      <c r="B153" s="721" t="s">
        <v>8</v>
      </c>
      <c r="C153" s="441" t="s">
        <v>593</v>
      </c>
      <c r="D153" s="1033" t="s">
        <v>7</v>
      </c>
      <c r="E153" s="1031"/>
      <c r="F153" s="1031"/>
      <c r="G153" s="1031"/>
      <c r="H153" s="1031"/>
      <c r="I153" s="1031"/>
      <c r="J153" s="431"/>
      <c r="K153" s="431"/>
      <c r="L153" s="431"/>
      <c r="M153" s="431"/>
      <c r="N153" s="431"/>
      <c r="O153" s="431"/>
      <c r="P153" s="431"/>
      <c r="Q153" s="431"/>
      <c r="R153" s="431"/>
      <c r="S153" s="431"/>
      <c r="T153" s="431"/>
      <c r="U153" s="431"/>
      <c r="V153" s="431"/>
      <c r="W153" s="410"/>
    </row>
    <row r="154" spans="1:23" hidden="1" x14ac:dyDescent="0.2">
      <c r="A154" s="700"/>
      <c r="B154" s="722" t="s">
        <v>9</v>
      </c>
      <c r="C154" s="442"/>
      <c r="D154" s="442"/>
      <c r="E154" s="442"/>
      <c r="F154" s="442"/>
      <c r="G154" s="443"/>
      <c r="H154" s="444"/>
      <c r="I154" s="445"/>
      <c r="J154" s="445"/>
      <c r="K154" s="445"/>
      <c r="L154" s="445"/>
      <c r="M154" s="445"/>
      <c r="N154" s="445"/>
      <c r="O154" s="445"/>
      <c r="P154" s="445"/>
      <c r="Q154" s="445"/>
      <c r="R154" s="445"/>
      <c r="S154" s="445"/>
      <c r="T154" s="445"/>
      <c r="U154" s="445"/>
      <c r="V154" s="445"/>
    </row>
    <row r="155" spans="1:23" hidden="1" x14ac:dyDescent="0.2">
      <c r="A155" s="701"/>
      <c r="B155" s="722" t="s">
        <v>715</v>
      </c>
      <c r="C155" s="447"/>
      <c r="D155" s="447"/>
      <c r="E155" s="447"/>
      <c r="F155" s="447"/>
      <c r="G155" s="447"/>
      <c r="H155" s="447"/>
      <c r="I155" s="447"/>
      <c r="J155" s="447"/>
      <c r="K155" s="447"/>
      <c r="L155" s="447"/>
      <c r="M155" s="447"/>
      <c r="N155" s="447"/>
      <c r="O155" s="447"/>
      <c r="P155" s="447"/>
      <c r="Q155" s="447"/>
      <c r="R155" s="447"/>
      <c r="S155" s="447"/>
      <c r="T155" s="447"/>
      <c r="U155" s="447"/>
      <c r="V155" s="447"/>
    </row>
    <row r="156" spans="1:23" hidden="1" x14ac:dyDescent="0.2">
      <c r="A156" s="700"/>
      <c r="B156" s="723"/>
      <c r="C156" s="448" t="s">
        <v>303</v>
      </c>
      <c r="D156" s="448" t="s">
        <v>137</v>
      </c>
      <c r="E156" s="448" t="s">
        <v>293</v>
      </c>
      <c r="F156" s="447"/>
      <c r="G156" s="447"/>
      <c r="H156" s="447"/>
      <c r="I156" s="447"/>
      <c r="J156" s="447"/>
      <c r="K156" s="447"/>
      <c r="L156" s="447"/>
      <c r="M156" s="447"/>
      <c r="N156" s="447"/>
      <c r="O156" s="447"/>
      <c r="P156" s="447"/>
      <c r="Q156" s="447"/>
      <c r="R156" s="447"/>
      <c r="S156" s="447"/>
      <c r="T156" s="447"/>
      <c r="U156" s="447"/>
      <c r="V156" s="447"/>
    </row>
    <row r="157" spans="1:23" hidden="1" x14ac:dyDescent="0.2">
      <c r="A157" s="700">
        <v>1</v>
      </c>
      <c r="B157" s="724" t="s">
        <v>716</v>
      </c>
      <c r="C157" s="449" t="s">
        <v>593</v>
      </c>
      <c r="D157" s="449" t="s">
        <v>593</v>
      </c>
      <c r="E157" s="449" t="s">
        <v>593</v>
      </c>
      <c r="F157" s="447"/>
      <c r="G157" s="447"/>
      <c r="H157" s="447"/>
      <c r="I157" s="447"/>
      <c r="J157" s="447"/>
      <c r="K157" s="447"/>
      <c r="L157" s="447"/>
      <c r="M157" s="447"/>
      <c r="N157" s="447"/>
      <c r="O157" s="447"/>
      <c r="P157" s="447"/>
      <c r="Q157" s="447"/>
      <c r="R157" s="447"/>
      <c r="S157" s="447"/>
      <c r="T157" s="447"/>
      <c r="U157" s="447"/>
      <c r="V157" s="447"/>
    </row>
    <row r="158" spans="1:23" hidden="1" x14ac:dyDescent="0.2">
      <c r="A158" s="700">
        <v>2</v>
      </c>
      <c r="B158" s="724" t="s">
        <v>10</v>
      </c>
      <c r="C158" s="449" t="s">
        <v>593</v>
      </c>
      <c r="D158" s="449" t="s">
        <v>593</v>
      </c>
      <c r="E158" s="449" t="s">
        <v>593</v>
      </c>
      <c r="F158" s="447"/>
      <c r="G158" s="447"/>
      <c r="H158" s="447"/>
      <c r="I158" s="447"/>
      <c r="J158" s="447"/>
      <c r="K158" s="447"/>
      <c r="L158" s="447"/>
      <c r="M158" s="447"/>
      <c r="N158" s="447"/>
      <c r="O158" s="447"/>
      <c r="P158" s="447"/>
      <c r="Q158" s="447"/>
      <c r="R158" s="447"/>
      <c r="S158" s="447"/>
      <c r="T158" s="447"/>
      <c r="U158" s="447"/>
      <c r="V158" s="447"/>
    </row>
    <row r="159" spans="1:23" hidden="1" x14ac:dyDescent="0.2">
      <c r="A159" s="700">
        <v>3</v>
      </c>
      <c r="B159" s="724" t="s">
        <v>717</v>
      </c>
      <c r="C159" s="449" t="s">
        <v>593</v>
      </c>
      <c r="D159" s="449" t="s">
        <v>593</v>
      </c>
      <c r="E159" s="449" t="s">
        <v>593</v>
      </c>
      <c r="F159" s="447"/>
      <c r="G159" s="447"/>
      <c r="H159" s="447"/>
      <c r="I159" s="447"/>
      <c r="J159" s="447"/>
      <c r="K159" s="447"/>
      <c r="L159" s="447"/>
      <c r="M159" s="447"/>
      <c r="N159" s="447"/>
      <c r="O159" s="447"/>
      <c r="P159" s="447"/>
      <c r="Q159" s="447"/>
      <c r="R159" s="447"/>
      <c r="S159" s="447"/>
      <c r="T159" s="447"/>
      <c r="U159" s="447"/>
      <c r="V159" s="447"/>
    </row>
    <row r="160" spans="1:23" hidden="1" x14ac:dyDescent="0.2">
      <c r="A160" s="700">
        <v>4</v>
      </c>
      <c r="B160" s="725" t="s">
        <v>11</v>
      </c>
      <c r="C160" s="451">
        <v>0</v>
      </c>
      <c r="D160" s="451">
        <v>0</v>
      </c>
      <c r="E160" s="451">
        <v>0</v>
      </c>
      <c r="F160" s="447"/>
      <c r="G160" s="447"/>
      <c r="H160" s="447"/>
      <c r="I160" s="447"/>
      <c r="J160" s="447"/>
      <c r="K160" s="447"/>
      <c r="L160" s="447"/>
      <c r="M160" s="447"/>
      <c r="N160" s="447"/>
      <c r="O160" s="447"/>
      <c r="P160" s="447"/>
      <c r="Q160" s="447"/>
      <c r="R160" s="447"/>
      <c r="S160" s="447"/>
      <c r="T160" s="447"/>
      <c r="U160" s="447"/>
      <c r="V160" s="447"/>
    </row>
    <row r="161" spans="1:22" hidden="1" x14ac:dyDescent="0.2">
      <c r="A161" s="700">
        <v>5</v>
      </c>
      <c r="B161" s="724" t="s">
        <v>12</v>
      </c>
      <c r="C161" s="449" t="s">
        <v>593</v>
      </c>
      <c r="D161" s="449" t="s">
        <v>593</v>
      </c>
      <c r="E161" s="449" t="s">
        <v>593</v>
      </c>
      <c r="F161" s="446"/>
      <c r="G161" s="446"/>
      <c r="H161" s="446"/>
      <c r="I161" s="446"/>
      <c r="J161" s="446"/>
      <c r="K161" s="446"/>
      <c r="L161" s="446"/>
      <c r="M161" s="446"/>
      <c r="N161" s="446"/>
      <c r="O161" s="446"/>
      <c r="P161" s="446"/>
      <c r="Q161" s="446"/>
      <c r="R161" s="446"/>
      <c r="S161" s="446"/>
      <c r="T161" s="446"/>
      <c r="U161" s="446"/>
      <c r="V161" s="446"/>
    </row>
    <row r="162" spans="1:22" hidden="1" x14ac:dyDescent="0.2">
      <c r="A162" s="700">
        <v>6</v>
      </c>
      <c r="B162" s="724" t="s">
        <v>13</v>
      </c>
      <c r="C162" s="449" t="s">
        <v>593</v>
      </c>
      <c r="D162" s="449" t="s">
        <v>593</v>
      </c>
      <c r="E162" s="449" t="s">
        <v>593</v>
      </c>
      <c r="F162" s="446"/>
      <c r="G162" s="446"/>
      <c r="H162" s="446"/>
      <c r="I162" s="446"/>
      <c r="J162" s="446"/>
      <c r="K162" s="446"/>
      <c r="L162" s="446"/>
      <c r="M162" s="446"/>
      <c r="N162" s="446"/>
      <c r="O162" s="446"/>
      <c r="P162" s="446"/>
      <c r="Q162" s="446"/>
      <c r="R162" s="446"/>
      <c r="S162" s="446"/>
      <c r="T162" s="446"/>
      <c r="U162" s="446"/>
      <c r="V162" s="446"/>
    </row>
    <row r="163" spans="1:22" hidden="1" x14ac:dyDescent="0.2">
      <c r="A163" s="700">
        <v>7</v>
      </c>
      <c r="B163" s="724" t="s">
        <v>14</v>
      </c>
      <c r="C163" s="449" t="s">
        <v>593</v>
      </c>
      <c r="D163" s="449" t="s">
        <v>593</v>
      </c>
      <c r="E163" s="449" t="s">
        <v>593</v>
      </c>
      <c r="F163" s="446"/>
      <c r="G163" s="446"/>
      <c r="H163" s="446"/>
      <c r="I163" s="446"/>
      <c r="J163" s="446"/>
      <c r="K163" s="446"/>
      <c r="L163" s="446"/>
      <c r="M163" s="446"/>
      <c r="N163" s="446"/>
      <c r="O163" s="446"/>
      <c r="P163" s="446"/>
      <c r="Q163" s="446"/>
      <c r="R163" s="446"/>
      <c r="S163" s="446"/>
      <c r="T163" s="446"/>
      <c r="U163" s="446"/>
      <c r="V163" s="446"/>
    </row>
    <row r="164" spans="1:22" hidden="1" x14ac:dyDescent="0.2">
      <c r="A164" s="700">
        <v>8</v>
      </c>
      <c r="B164" s="724" t="s">
        <v>15</v>
      </c>
      <c r="C164" s="449" t="s">
        <v>593</v>
      </c>
      <c r="D164" s="449" t="s">
        <v>593</v>
      </c>
      <c r="E164" s="449" t="s">
        <v>593</v>
      </c>
      <c r="F164" s="446"/>
      <c r="G164" s="446"/>
      <c r="H164" s="446"/>
      <c r="I164" s="446"/>
      <c r="J164" s="446"/>
      <c r="K164" s="446"/>
      <c r="L164" s="446"/>
      <c r="M164" s="446"/>
      <c r="N164" s="446"/>
      <c r="O164" s="446"/>
      <c r="P164" s="446"/>
      <c r="Q164" s="446"/>
      <c r="R164" s="446"/>
      <c r="S164" s="446"/>
      <c r="T164" s="446"/>
      <c r="U164" s="446"/>
      <c r="V164" s="446"/>
    </row>
    <row r="165" spans="1:22" hidden="1" x14ac:dyDescent="0.2">
      <c r="A165" s="700">
        <v>9</v>
      </c>
      <c r="B165" s="724" t="s">
        <v>16</v>
      </c>
      <c r="C165" s="449" t="s">
        <v>593</v>
      </c>
      <c r="D165" s="449" t="s">
        <v>593</v>
      </c>
      <c r="E165" s="449" t="s">
        <v>593</v>
      </c>
      <c r="F165" s="446"/>
      <c r="G165" s="446"/>
      <c r="H165" s="446"/>
      <c r="I165" s="446"/>
      <c r="J165" s="446"/>
      <c r="K165" s="446"/>
      <c r="L165" s="446"/>
      <c r="M165" s="446"/>
      <c r="N165" s="446"/>
      <c r="O165" s="446"/>
      <c r="P165" s="446"/>
      <c r="Q165" s="446"/>
      <c r="R165" s="446"/>
      <c r="S165" s="446"/>
      <c r="T165" s="446"/>
      <c r="U165" s="446"/>
      <c r="V165" s="446"/>
    </row>
    <row r="166" spans="1:22" hidden="1" x14ac:dyDescent="0.2">
      <c r="A166" s="700">
        <v>10</v>
      </c>
      <c r="B166" s="724" t="s">
        <v>718</v>
      </c>
      <c r="C166" s="449" t="s">
        <v>593</v>
      </c>
      <c r="D166" s="449" t="s">
        <v>593</v>
      </c>
      <c r="E166" s="449" t="s">
        <v>593</v>
      </c>
      <c r="F166" s="446"/>
      <c r="G166" s="446"/>
      <c r="H166" s="446"/>
      <c r="I166" s="446"/>
      <c r="J166" s="446"/>
      <c r="K166" s="446"/>
      <c r="L166" s="446"/>
      <c r="M166" s="446"/>
      <c r="N166" s="446"/>
      <c r="O166" s="446"/>
      <c r="P166" s="446"/>
      <c r="Q166" s="446"/>
      <c r="R166" s="446"/>
      <c r="S166" s="446"/>
      <c r="T166" s="446"/>
      <c r="U166" s="446"/>
      <c r="V166" s="446"/>
    </row>
    <row r="167" spans="1:22" hidden="1" x14ac:dyDescent="0.2">
      <c r="A167" s="700">
        <v>11</v>
      </c>
      <c r="B167" s="724" t="s">
        <v>719</v>
      </c>
      <c r="C167" s="449" t="s">
        <v>593</v>
      </c>
      <c r="D167" s="449" t="s">
        <v>593</v>
      </c>
      <c r="E167" s="449" t="s">
        <v>593</v>
      </c>
      <c r="F167" s="446"/>
      <c r="G167" s="446"/>
      <c r="H167" s="446"/>
      <c r="I167" s="446"/>
      <c r="J167" s="446"/>
      <c r="K167" s="446"/>
      <c r="L167" s="446"/>
      <c r="M167" s="446"/>
      <c r="N167" s="446"/>
      <c r="O167" s="446"/>
      <c r="P167" s="446"/>
      <c r="Q167" s="446"/>
      <c r="R167" s="446"/>
      <c r="S167" s="446"/>
      <c r="T167" s="446"/>
      <c r="U167" s="446"/>
      <c r="V167" s="446"/>
    </row>
    <row r="168" spans="1:22" hidden="1" x14ac:dyDescent="0.2">
      <c r="A168" s="700">
        <v>12</v>
      </c>
      <c r="B168" s="726" t="s">
        <v>18</v>
      </c>
      <c r="C168" s="449" t="s">
        <v>593</v>
      </c>
      <c r="D168" s="449" t="s">
        <v>593</v>
      </c>
      <c r="E168" s="449" t="s">
        <v>593</v>
      </c>
      <c r="F168" s="446"/>
      <c r="G168" s="446"/>
      <c r="H168" s="446"/>
      <c r="I168" s="446"/>
      <c r="J168" s="446"/>
      <c r="K168" s="446"/>
      <c r="L168" s="446"/>
      <c r="M168" s="446"/>
      <c r="N168" s="446"/>
      <c r="O168" s="446"/>
      <c r="P168" s="446"/>
      <c r="Q168" s="446"/>
      <c r="R168" s="446"/>
      <c r="S168" s="446"/>
      <c r="T168" s="446"/>
      <c r="U168" s="446"/>
      <c r="V168" s="446"/>
    </row>
    <row r="169" spans="1:22" hidden="1" x14ac:dyDescent="0.2">
      <c r="A169" s="700">
        <v>13</v>
      </c>
      <c r="B169" s="724" t="s">
        <v>720</v>
      </c>
      <c r="C169" s="449" t="s">
        <v>593</v>
      </c>
      <c r="D169" s="449" t="s">
        <v>593</v>
      </c>
      <c r="E169" s="449" t="s">
        <v>593</v>
      </c>
      <c r="F169" s="447"/>
      <c r="G169" s="447"/>
      <c r="H169" s="447"/>
      <c r="I169" s="446"/>
      <c r="J169" s="446"/>
      <c r="K169" s="446"/>
      <c r="L169" s="446"/>
      <c r="M169" s="446"/>
      <c r="N169" s="446"/>
      <c r="O169" s="446"/>
      <c r="P169" s="446"/>
      <c r="Q169" s="446"/>
      <c r="R169" s="446"/>
      <c r="S169" s="446"/>
      <c r="T169" s="446"/>
      <c r="U169" s="446"/>
      <c r="V169" s="446"/>
    </row>
    <row r="170" spans="1:22" hidden="1" x14ac:dyDescent="0.2">
      <c r="A170" s="700">
        <v>14</v>
      </c>
      <c r="B170" s="724" t="s">
        <v>20</v>
      </c>
      <c r="C170" s="449" t="s">
        <v>593</v>
      </c>
      <c r="D170" s="449" t="s">
        <v>593</v>
      </c>
      <c r="E170" s="449" t="s">
        <v>593</v>
      </c>
      <c r="F170" s="447"/>
      <c r="G170" s="447"/>
      <c r="H170" s="447"/>
      <c r="I170" s="446"/>
      <c r="J170" s="446"/>
      <c r="K170" s="446"/>
      <c r="L170" s="446"/>
      <c r="M170" s="446"/>
      <c r="N170" s="446"/>
      <c r="O170" s="446"/>
      <c r="P170" s="446"/>
      <c r="Q170" s="446"/>
      <c r="R170" s="446"/>
      <c r="S170" s="446"/>
      <c r="T170" s="446"/>
      <c r="U170" s="446"/>
      <c r="V170" s="446"/>
    </row>
    <row r="171" spans="1:22" hidden="1" x14ac:dyDescent="0.2">
      <c r="A171" s="700">
        <v>15</v>
      </c>
      <c r="B171" s="724" t="s">
        <v>721</v>
      </c>
      <c r="C171" s="449" t="s">
        <v>593</v>
      </c>
      <c r="D171" s="449" t="s">
        <v>593</v>
      </c>
      <c r="E171" s="449" t="s">
        <v>593</v>
      </c>
      <c r="F171" s="447"/>
      <c r="G171" s="447"/>
      <c r="H171" s="447"/>
      <c r="I171" s="446"/>
      <c r="J171" s="446"/>
      <c r="K171" s="446"/>
      <c r="L171" s="446"/>
      <c r="M171" s="446"/>
      <c r="N171" s="446"/>
      <c r="O171" s="446"/>
      <c r="P171" s="446"/>
      <c r="Q171" s="446"/>
      <c r="R171" s="446"/>
      <c r="S171" s="446"/>
      <c r="T171" s="446"/>
      <c r="U171" s="446"/>
      <c r="V171" s="446"/>
    </row>
    <row r="172" spans="1:22" hidden="1" x14ac:dyDescent="0.2">
      <c r="A172" s="700">
        <v>16</v>
      </c>
      <c r="B172" s="724" t="s">
        <v>21</v>
      </c>
      <c r="C172" s="449" t="s">
        <v>593</v>
      </c>
      <c r="D172" s="449" t="s">
        <v>593</v>
      </c>
      <c r="E172" s="449" t="s">
        <v>593</v>
      </c>
      <c r="F172" s="447"/>
      <c r="G172" s="447"/>
      <c r="H172" s="447"/>
      <c r="I172" s="446"/>
      <c r="J172" s="446"/>
      <c r="K172" s="446"/>
      <c r="L172" s="446"/>
      <c r="M172" s="446"/>
      <c r="N172" s="446"/>
      <c r="O172" s="446"/>
      <c r="P172" s="446"/>
      <c r="Q172" s="446"/>
      <c r="R172" s="446"/>
      <c r="S172" s="446"/>
      <c r="T172" s="446"/>
      <c r="U172" s="446"/>
      <c r="V172" s="446"/>
    </row>
    <row r="173" spans="1:22" hidden="1" x14ac:dyDescent="0.2">
      <c r="A173" s="700">
        <v>17</v>
      </c>
      <c r="B173" s="724" t="s">
        <v>22</v>
      </c>
      <c r="C173" s="449" t="s">
        <v>593</v>
      </c>
      <c r="D173" s="449" t="s">
        <v>593</v>
      </c>
      <c r="E173" s="449" t="s">
        <v>593</v>
      </c>
      <c r="F173" s="447"/>
      <c r="G173" s="447"/>
      <c r="H173" s="447"/>
      <c r="I173" s="446"/>
      <c r="J173" s="446"/>
      <c r="K173" s="446"/>
      <c r="L173" s="446"/>
      <c r="M173" s="446"/>
      <c r="N173" s="446"/>
      <c r="O173" s="446"/>
      <c r="P173" s="446"/>
      <c r="Q173" s="446"/>
      <c r="R173" s="446"/>
      <c r="S173" s="446"/>
      <c r="T173" s="446"/>
      <c r="U173" s="446"/>
      <c r="V173" s="446"/>
    </row>
    <row r="174" spans="1:22" hidden="1" x14ac:dyDescent="0.2">
      <c r="A174" s="700"/>
      <c r="B174" s="722" t="s">
        <v>23</v>
      </c>
      <c r="C174" s="452"/>
      <c r="D174" s="452"/>
      <c r="E174" s="452"/>
      <c r="F174" s="447"/>
      <c r="G174" s="447"/>
      <c r="H174" s="447"/>
      <c r="I174" s="446"/>
      <c r="J174" s="446"/>
      <c r="K174" s="446"/>
      <c r="L174" s="446"/>
      <c r="M174" s="446"/>
      <c r="N174" s="446"/>
      <c r="O174" s="446"/>
      <c r="P174" s="446"/>
      <c r="Q174" s="446"/>
      <c r="R174" s="446"/>
      <c r="S174" s="446"/>
      <c r="T174" s="446"/>
      <c r="U174" s="446"/>
      <c r="V174" s="446"/>
    </row>
    <row r="175" spans="1:22" hidden="1" x14ac:dyDescent="0.2">
      <c r="A175" s="701" t="s">
        <v>24</v>
      </c>
      <c r="B175" s="727" t="s">
        <v>25</v>
      </c>
      <c r="C175" s="1048" t="s">
        <v>26</v>
      </c>
      <c r="D175" s="1048"/>
      <c r="E175" s="1048"/>
      <c r="F175" s="447"/>
      <c r="G175" s="447"/>
      <c r="H175" s="447"/>
      <c r="I175" s="446"/>
      <c r="J175" s="446"/>
      <c r="K175" s="446"/>
      <c r="L175" s="446"/>
      <c r="M175" s="446"/>
      <c r="N175" s="446"/>
      <c r="O175" s="446"/>
      <c r="P175" s="446"/>
      <c r="Q175" s="446"/>
      <c r="R175" s="446"/>
      <c r="S175" s="446"/>
      <c r="T175" s="446"/>
      <c r="U175" s="446"/>
      <c r="V175" s="446"/>
    </row>
    <row r="176" spans="1:22" hidden="1" x14ac:dyDescent="0.2">
      <c r="A176" s="700">
        <v>1</v>
      </c>
      <c r="B176" s="728" t="s">
        <v>27</v>
      </c>
      <c r="C176" s="454"/>
      <c r="D176" s="454"/>
      <c r="E176" s="455" t="s">
        <v>593</v>
      </c>
      <c r="F176" s="447"/>
      <c r="G176" s="447"/>
      <c r="H176" s="447"/>
      <c r="I176" s="446"/>
      <c r="J176" s="446"/>
      <c r="K176" s="446"/>
      <c r="L176" s="446"/>
      <c r="M176" s="446"/>
      <c r="N176" s="446"/>
      <c r="O176" s="446"/>
      <c r="P176" s="446"/>
      <c r="Q176" s="446"/>
      <c r="R176" s="446"/>
      <c r="S176" s="446"/>
      <c r="T176" s="446"/>
      <c r="U176" s="446"/>
      <c r="V176" s="446"/>
    </row>
    <row r="177" spans="1:27" hidden="1" x14ac:dyDescent="0.2">
      <c r="A177" s="700">
        <v>2</v>
      </c>
      <c r="B177" s="728" t="s">
        <v>722</v>
      </c>
      <c r="C177" s="456"/>
      <c r="D177" s="456"/>
      <c r="E177" s="455" t="s">
        <v>593</v>
      </c>
      <c r="F177" s="446"/>
      <c r="G177" s="446"/>
      <c r="H177" s="446"/>
      <c r="I177" s="446"/>
      <c r="J177" s="446"/>
      <c r="K177" s="446"/>
      <c r="L177" s="446"/>
      <c r="M177" s="446"/>
      <c r="N177" s="446"/>
      <c r="O177" s="446"/>
      <c r="P177" s="446"/>
      <c r="Q177" s="446"/>
      <c r="R177" s="446"/>
      <c r="S177" s="446"/>
      <c r="T177" s="446"/>
      <c r="U177" s="446"/>
      <c r="V177" s="446"/>
    </row>
    <row r="178" spans="1:27" hidden="1" x14ac:dyDescent="0.2">
      <c r="A178" s="700">
        <v>3</v>
      </c>
      <c r="B178" s="728" t="s">
        <v>28</v>
      </c>
      <c r="C178" s="420"/>
      <c r="D178" s="420"/>
      <c r="E178" s="455" t="s">
        <v>593</v>
      </c>
      <c r="F178" s="446"/>
      <c r="G178" s="446"/>
      <c r="H178" s="446"/>
      <c r="I178" s="446"/>
      <c r="J178" s="446"/>
      <c r="K178" s="446"/>
      <c r="L178" s="446"/>
      <c r="M178" s="446"/>
      <c r="N178" s="446"/>
      <c r="O178" s="446"/>
      <c r="P178" s="446"/>
      <c r="Q178" s="446"/>
      <c r="R178" s="446"/>
      <c r="S178" s="446"/>
      <c r="T178" s="446"/>
      <c r="U178" s="446"/>
      <c r="V178" s="446"/>
      <c r="X178" s="418">
        <v>0</v>
      </c>
      <c r="Z178" s="457"/>
      <c r="AA178" s="457"/>
    </row>
    <row r="179" spans="1:27" hidden="1" x14ac:dyDescent="0.2">
      <c r="A179" s="700">
        <v>4</v>
      </c>
      <c r="B179" s="724" t="s">
        <v>20</v>
      </c>
      <c r="C179" s="420"/>
      <c r="D179" s="420"/>
      <c r="E179" s="455" t="s">
        <v>593</v>
      </c>
      <c r="F179" s="446"/>
      <c r="G179" s="446"/>
      <c r="H179" s="446"/>
      <c r="I179" s="446"/>
      <c r="J179" s="446"/>
      <c r="K179" s="446"/>
      <c r="L179" s="446"/>
      <c r="M179" s="446"/>
      <c r="N179" s="446"/>
      <c r="O179" s="446"/>
      <c r="P179" s="446"/>
      <c r="Q179" s="446"/>
      <c r="R179" s="446"/>
      <c r="S179" s="446"/>
      <c r="T179" s="446"/>
      <c r="U179" s="446"/>
      <c r="V179" s="446"/>
      <c r="Z179" s="457"/>
      <c r="AA179" s="457"/>
    </row>
    <row r="180" spans="1:27" hidden="1" x14ac:dyDescent="0.2">
      <c r="A180" s="700">
        <v>5</v>
      </c>
      <c r="B180" s="724" t="s">
        <v>21</v>
      </c>
      <c r="C180" s="420"/>
      <c r="D180" s="420"/>
      <c r="E180" s="455" t="s">
        <v>593</v>
      </c>
      <c r="F180" s="446"/>
      <c r="G180" s="446"/>
      <c r="H180" s="446"/>
      <c r="I180" s="446"/>
      <c r="J180" s="446"/>
      <c r="K180" s="446"/>
      <c r="L180" s="446"/>
      <c r="M180" s="446"/>
      <c r="N180" s="446"/>
      <c r="O180" s="446"/>
      <c r="P180" s="446"/>
      <c r="Q180" s="446"/>
      <c r="R180" s="446"/>
      <c r="S180" s="446"/>
      <c r="T180" s="446"/>
      <c r="U180" s="446"/>
      <c r="V180" s="446"/>
      <c r="Z180" s="457"/>
      <c r="AA180" s="457"/>
    </row>
    <row r="181" spans="1:27" hidden="1" x14ac:dyDescent="0.2">
      <c r="A181" s="700"/>
      <c r="B181" s="723"/>
      <c r="C181" s="446"/>
      <c r="D181" s="446"/>
      <c r="E181" s="446"/>
      <c r="F181" s="446"/>
      <c r="G181" s="446"/>
      <c r="H181" s="446"/>
      <c r="I181" s="446"/>
      <c r="J181" s="446"/>
      <c r="K181" s="446"/>
      <c r="L181" s="446"/>
      <c r="M181" s="446"/>
      <c r="N181" s="446"/>
      <c r="O181" s="446"/>
      <c r="P181" s="446"/>
      <c r="Q181" s="446"/>
      <c r="R181" s="446"/>
      <c r="S181" s="446"/>
      <c r="T181" s="446"/>
      <c r="U181" s="446"/>
      <c r="V181" s="446"/>
      <c r="Z181" s="457"/>
      <c r="AA181" s="457"/>
    </row>
    <row r="182" spans="1:27" ht="25.5" hidden="1" x14ac:dyDescent="0.2">
      <c r="A182" s="729" t="s">
        <v>29</v>
      </c>
      <c r="B182" s="730" t="s">
        <v>30</v>
      </c>
      <c r="C182" s="1049" t="s">
        <v>31</v>
      </c>
      <c r="D182" s="1050"/>
      <c r="E182" s="1053" t="s">
        <v>32</v>
      </c>
      <c r="F182" s="1054"/>
      <c r="G182" s="1055"/>
      <c r="H182" s="1056"/>
      <c r="I182" s="445"/>
      <c r="J182" s="445"/>
      <c r="K182" s="445"/>
      <c r="L182" s="445"/>
      <c r="M182" s="445"/>
      <c r="N182" s="445"/>
      <c r="O182" s="445"/>
      <c r="P182" s="445"/>
      <c r="Q182" s="445"/>
      <c r="R182" s="445"/>
      <c r="S182" s="445"/>
      <c r="T182" s="445"/>
      <c r="U182" s="445"/>
      <c r="V182" s="445"/>
    </row>
    <row r="183" spans="1:27" hidden="1" x14ac:dyDescent="0.2">
      <c r="A183" s="701"/>
      <c r="B183" s="731"/>
      <c r="C183" s="458" t="s">
        <v>33</v>
      </c>
      <c r="D183" s="459" t="s">
        <v>34</v>
      </c>
      <c r="E183" s="458" t="s">
        <v>33</v>
      </c>
      <c r="F183" s="459" t="s">
        <v>34</v>
      </c>
      <c r="G183" s="460"/>
      <c r="H183" s="460"/>
      <c r="I183" s="445"/>
      <c r="J183" s="445"/>
      <c r="K183" s="445"/>
      <c r="L183" s="445"/>
      <c r="M183" s="445"/>
      <c r="N183" s="445"/>
      <c r="O183" s="445"/>
      <c r="P183" s="445"/>
      <c r="Q183" s="445"/>
      <c r="R183" s="445"/>
      <c r="S183" s="445"/>
      <c r="T183" s="445"/>
      <c r="U183" s="445"/>
      <c r="V183" s="445"/>
      <c r="X183" s="418">
        <v>1</v>
      </c>
    </row>
    <row r="184" spans="1:27" hidden="1" x14ac:dyDescent="0.2">
      <c r="A184" s="701"/>
      <c r="B184" s="732" t="s">
        <v>372</v>
      </c>
      <c r="C184" s="461" t="s">
        <v>593</v>
      </c>
      <c r="D184" s="461" t="s">
        <v>593</v>
      </c>
      <c r="E184" s="461" t="s">
        <v>593</v>
      </c>
      <c r="F184" s="461" t="s">
        <v>593</v>
      </c>
      <c r="G184" s="462"/>
      <c r="H184" s="462"/>
      <c r="I184" s="445"/>
      <c r="J184" s="445"/>
      <c r="K184" s="445"/>
      <c r="L184" s="445"/>
      <c r="M184" s="445"/>
      <c r="N184" s="445"/>
      <c r="O184" s="445"/>
      <c r="P184" s="445"/>
      <c r="Q184" s="445"/>
      <c r="R184" s="445"/>
      <c r="S184" s="445"/>
      <c r="T184" s="445"/>
      <c r="U184" s="445"/>
      <c r="V184" s="445"/>
      <c r="X184" s="418">
        <v>2</v>
      </c>
    </row>
    <row r="185" spans="1:27" hidden="1" x14ac:dyDescent="0.2">
      <c r="A185" s="701"/>
      <c r="B185" s="732"/>
      <c r="C185" s="462"/>
      <c r="D185" s="462"/>
      <c r="E185" s="462"/>
      <c r="F185" s="462"/>
      <c r="G185" s="462"/>
      <c r="H185" s="462"/>
      <c r="I185" s="445"/>
      <c r="J185" s="445"/>
      <c r="K185" s="445"/>
      <c r="L185" s="445"/>
      <c r="M185" s="445"/>
      <c r="N185" s="445"/>
      <c r="O185" s="445"/>
      <c r="P185" s="445"/>
      <c r="Q185" s="445"/>
      <c r="R185" s="445"/>
      <c r="S185" s="445"/>
      <c r="T185" s="445"/>
      <c r="U185" s="445"/>
      <c r="V185" s="445"/>
      <c r="X185" s="418">
        <v>3</v>
      </c>
    </row>
    <row r="186" spans="1:27" hidden="1" x14ac:dyDescent="0.2">
      <c r="A186" s="701" t="s">
        <v>373</v>
      </c>
      <c r="B186" s="733" t="s">
        <v>723</v>
      </c>
      <c r="C186" s="2"/>
      <c r="D186" s="1051" t="s">
        <v>374</v>
      </c>
      <c r="E186" s="1052"/>
      <c r="F186" s="1052"/>
      <c r="G186" s="1052"/>
      <c r="H186" s="1052"/>
      <c r="I186" s="1052"/>
      <c r="J186" s="463"/>
      <c r="K186" s="463"/>
      <c r="L186" s="463"/>
      <c r="M186" s="463"/>
      <c r="N186" s="463"/>
      <c r="O186" s="463"/>
      <c r="P186" s="463"/>
      <c r="Q186" s="463"/>
      <c r="R186" s="463"/>
      <c r="S186" s="463"/>
      <c r="T186" s="463"/>
      <c r="U186" s="463"/>
      <c r="V186" s="463"/>
    </row>
    <row r="187" spans="1:27" hidden="1" x14ac:dyDescent="0.2">
      <c r="A187" s="701"/>
      <c r="B187" s="732" t="s">
        <v>20</v>
      </c>
      <c r="C187" s="209" t="s">
        <v>593</v>
      </c>
      <c r="D187" s="446"/>
      <c r="E187" s="447"/>
      <c r="F187" s="462"/>
      <c r="G187" s="464"/>
      <c r="H187" s="464"/>
      <c r="I187" s="445"/>
      <c r="J187" s="445"/>
      <c r="K187" s="445"/>
      <c r="L187" s="445"/>
      <c r="M187" s="445"/>
      <c r="N187" s="445"/>
      <c r="O187" s="445"/>
      <c r="P187" s="445"/>
      <c r="Q187" s="445"/>
      <c r="R187" s="445"/>
      <c r="S187" s="445"/>
      <c r="T187" s="445"/>
      <c r="U187" s="445"/>
      <c r="V187" s="445"/>
      <c r="X187" s="418" t="s">
        <v>375</v>
      </c>
    </row>
    <row r="188" spans="1:27" hidden="1" x14ac:dyDescent="0.2">
      <c r="A188" s="701"/>
      <c r="B188" s="732" t="s">
        <v>21</v>
      </c>
      <c r="C188" s="209" t="s">
        <v>593</v>
      </c>
      <c r="D188" s="446"/>
      <c r="E188" s="447"/>
      <c r="F188" s="462"/>
      <c r="G188" s="447"/>
      <c r="H188" s="464"/>
      <c r="I188" s="445"/>
      <c r="J188" s="445"/>
      <c r="K188" s="445"/>
      <c r="L188" s="445"/>
      <c r="M188" s="445"/>
      <c r="N188" s="445"/>
      <c r="O188" s="445"/>
      <c r="P188" s="445"/>
      <c r="Q188" s="445"/>
      <c r="R188" s="445"/>
      <c r="S188" s="445"/>
      <c r="T188" s="445"/>
      <c r="U188" s="445"/>
      <c r="V188" s="445"/>
      <c r="X188" s="418" t="s">
        <v>376</v>
      </c>
    </row>
    <row r="189" spans="1:27" hidden="1" x14ac:dyDescent="0.2">
      <c r="A189" s="701"/>
      <c r="B189" s="732" t="s">
        <v>724</v>
      </c>
      <c r="C189" s="209" t="s">
        <v>593</v>
      </c>
      <c r="D189" s="446"/>
      <c r="E189" s="447"/>
      <c r="F189" s="462"/>
      <c r="G189" s="447"/>
      <c r="H189" s="464"/>
      <c r="I189" s="445"/>
      <c r="J189" s="445"/>
      <c r="K189" s="445"/>
      <c r="L189" s="445"/>
      <c r="M189" s="445"/>
      <c r="N189" s="445"/>
      <c r="O189" s="445"/>
      <c r="P189" s="445"/>
      <c r="Q189" s="445"/>
      <c r="R189" s="445"/>
      <c r="S189" s="445"/>
      <c r="T189" s="445"/>
      <c r="U189" s="445"/>
      <c r="V189" s="445"/>
    </row>
    <row r="190" spans="1:27" hidden="1" x14ac:dyDescent="0.2">
      <c r="A190" s="701"/>
      <c r="B190" s="732" t="s">
        <v>1</v>
      </c>
      <c r="C190" s="209">
        <v>1</v>
      </c>
      <c r="D190" s="446"/>
      <c r="E190" s="447"/>
      <c r="F190" s="462"/>
      <c r="G190" s="447"/>
      <c r="H190" s="464"/>
      <c r="I190" s="445"/>
      <c r="J190" s="445"/>
      <c r="K190" s="445"/>
      <c r="L190" s="445"/>
      <c r="M190" s="445"/>
      <c r="N190" s="445"/>
      <c r="O190" s="445"/>
      <c r="P190" s="445"/>
      <c r="Q190" s="445"/>
      <c r="R190" s="445"/>
      <c r="S190" s="445"/>
      <c r="T190" s="445"/>
      <c r="U190" s="445"/>
      <c r="V190" s="445"/>
      <c r="X190" s="418" t="s">
        <v>2</v>
      </c>
    </row>
    <row r="191" spans="1:27" hidden="1" x14ac:dyDescent="0.2">
      <c r="A191" s="701"/>
      <c r="B191" s="732"/>
      <c r="C191" s="465"/>
      <c r="D191" s="446"/>
      <c r="E191" s="447"/>
      <c r="F191" s="462"/>
      <c r="G191" s="447"/>
      <c r="H191" s="464"/>
      <c r="I191" s="445"/>
      <c r="J191" s="445"/>
      <c r="K191" s="445"/>
      <c r="L191" s="445"/>
      <c r="M191" s="445"/>
      <c r="N191" s="445"/>
      <c r="O191" s="445"/>
      <c r="P191" s="445"/>
      <c r="Q191" s="445"/>
      <c r="R191" s="445"/>
      <c r="S191" s="445"/>
      <c r="T191" s="445"/>
      <c r="U191" s="445"/>
      <c r="V191" s="445"/>
      <c r="X191" s="418" t="s">
        <v>3</v>
      </c>
    </row>
    <row r="192" spans="1:27" hidden="1" x14ac:dyDescent="0.2">
      <c r="A192" s="701" t="s">
        <v>373</v>
      </c>
      <c r="B192" s="725" t="s">
        <v>725</v>
      </c>
      <c r="C192" s="461" t="s">
        <v>593</v>
      </c>
      <c r="D192" s="446"/>
      <c r="E192" s="447"/>
      <c r="F192" s="462"/>
      <c r="G192" s="447"/>
      <c r="H192" s="464"/>
      <c r="I192" s="445"/>
      <c r="J192" s="445"/>
      <c r="K192" s="445"/>
      <c r="L192" s="445"/>
      <c r="M192" s="445"/>
      <c r="N192" s="445"/>
      <c r="O192" s="445"/>
      <c r="P192" s="445"/>
      <c r="Q192" s="445"/>
      <c r="R192" s="445"/>
      <c r="S192" s="445"/>
      <c r="T192" s="445"/>
      <c r="U192" s="445"/>
      <c r="V192" s="445"/>
      <c r="X192" s="418" t="s">
        <v>5</v>
      </c>
    </row>
    <row r="193" spans="1:26" hidden="1" x14ac:dyDescent="0.2">
      <c r="A193" s="701"/>
      <c r="B193" s="734"/>
      <c r="C193" s="466"/>
      <c r="D193" s="466"/>
      <c r="E193" s="466"/>
      <c r="F193" s="466"/>
      <c r="G193" s="466"/>
      <c r="H193" s="466"/>
      <c r="I193" s="466"/>
      <c r="J193" s="466"/>
      <c r="K193" s="466"/>
      <c r="L193" s="466"/>
      <c r="M193" s="466"/>
      <c r="N193" s="466"/>
      <c r="O193" s="466"/>
      <c r="P193" s="466"/>
      <c r="Q193" s="466"/>
      <c r="R193" s="466"/>
      <c r="S193" s="466"/>
      <c r="T193" s="466"/>
      <c r="U193" s="466"/>
      <c r="V193" s="466"/>
      <c r="Z193" s="457"/>
    </row>
    <row r="194" spans="1:26" ht="25.5" hidden="1" x14ac:dyDescent="0.2">
      <c r="A194" s="729" t="s">
        <v>6</v>
      </c>
      <c r="B194" s="735" t="s">
        <v>726</v>
      </c>
      <c r="C194" s="467">
        <v>3</v>
      </c>
      <c r="D194" s="1046" t="s">
        <v>243</v>
      </c>
      <c r="E194" s="1047"/>
      <c r="F194" s="1047"/>
      <c r="G194" s="1047"/>
      <c r="H194" s="1047"/>
      <c r="I194" s="1047"/>
      <c r="J194" s="468"/>
      <c r="K194" s="468"/>
      <c r="L194" s="468"/>
      <c r="M194" s="468"/>
      <c r="N194" s="468"/>
      <c r="O194" s="468"/>
      <c r="P194" s="468"/>
      <c r="Q194" s="468"/>
      <c r="R194" s="468"/>
      <c r="S194" s="468"/>
      <c r="T194" s="468"/>
      <c r="U194" s="468"/>
      <c r="V194" s="468"/>
      <c r="X194" s="418" t="s">
        <v>80</v>
      </c>
    </row>
    <row r="195" spans="1:26" hidden="1" x14ac:dyDescent="0.2">
      <c r="A195" s="701" t="s">
        <v>244</v>
      </c>
      <c r="B195" s="734" t="s">
        <v>245</v>
      </c>
      <c r="C195" s="469" t="s">
        <v>376</v>
      </c>
      <c r="D195" s="466"/>
      <c r="E195" s="466"/>
      <c r="F195" s="466"/>
      <c r="G195" s="466"/>
      <c r="H195" s="466"/>
      <c r="I195" s="466"/>
      <c r="J195" s="466"/>
      <c r="K195" s="466"/>
      <c r="L195" s="466"/>
      <c r="M195" s="466"/>
      <c r="N195" s="466"/>
      <c r="O195" s="466"/>
      <c r="P195" s="466"/>
      <c r="Q195" s="466"/>
      <c r="R195" s="466"/>
      <c r="S195" s="466"/>
      <c r="T195" s="466"/>
      <c r="U195" s="466"/>
      <c r="V195" s="466"/>
      <c r="X195" s="418" t="s">
        <v>246</v>
      </c>
    </row>
    <row r="196" spans="1:26" hidden="1" x14ac:dyDescent="0.2">
      <c r="A196" s="701" t="s">
        <v>247</v>
      </c>
      <c r="B196" s="734" t="s">
        <v>727</v>
      </c>
      <c r="C196" s="469" t="s">
        <v>5</v>
      </c>
      <c r="D196" s="466"/>
      <c r="E196" s="466"/>
      <c r="F196" s="466"/>
      <c r="G196" s="466"/>
      <c r="H196" s="466"/>
      <c r="I196" s="466"/>
      <c r="J196" s="466"/>
      <c r="K196" s="466"/>
      <c r="L196" s="466"/>
      <c r="M196" s="466"/>
      <c r="N196" s="466"/>
      <c r="O196" s="466"/>
      <c r="P196" s="466"/>
      <c r="Q196" s="466"/>
      <c r="R196" s="466"/>
      <c r="S196" s="466"/>
      <c r="T196" s="466"/>
      <c r="U196" s="466"/>
      <c r="V196" s="466"/>
    </row>
    <row r="197" spans="1:26" hidden="1" x14ac:dyDescent="0.2">
      <c r="A197" s="701" t="s">
        <v>248</v>
      </c>
      <c r="B197" s="734" t="s">
        <v>249</v>
      </c>
      <c r="C197" s="755" t="s">
        <v>246</v>
      </c>
      <c r="D197" s="466"/>
      <c r="E197" s="466"/>
      <c r="F197" s="466"/>
      <c r="G197" s="466"/>
      <c r="H197" s="466"/>
      <c r="I197" s="466"/>
      <c r="J197" s="466"/>
      <c r="K197" s="466"/>
      <c r="L197" s="466"/>
      <c r="M197" s="466"/>
      <c r="N197" s="466"/>
      <c r="O197" s="466"/>
      <c r="P197" s="466"/>
      <c r="Q197" s="466"/>
      <c r="R197" s="466"/>
      <c r="S197" s="466"/>
      <c r="T197" s="466"/>
      <c r="U197" s="466"/>
      <c r="V197" s="466"/>
    </row>
    <row r="198" spans="1:26" s="411" customFormat="1" ht="12.75" customHeight="1" x14ac:dyDescent="0.2">
      <c r="A198" s="751" t="s">
        <v>912</v>
      </c>
      <c r="B198" s="752" t="s">
        <v>916</v>
      </c>
      <c r="C198" s="746"/>
      <c r="D198" s="746"/>
      <c r="E198" s="746"/>
      <c r="F198" s="746"/>
      <c r="G198" s="746"/>
      <c r="H198" s="746"/>
      <c r="I198" s="746"/>
      <c r="J198" s="746"/>
      <c r="K198" s="746"/>
      <c r="L198" s="746"/>
      <c r="M198" s="746"/>
      <c r="N198" s="746"/>
      <c r="O198" s="746"/>
      <c r="P198" s="747"/>
      <c r="Q198" s="747"/>
      <c r="R198" s="747"/>
      <c r="S198" s="747"/>
      <c r="T198" s="747"/>
      <c r="U198" s="747"/>
      <c r="V198" s="747"/>
      <c r="W198" s="695"/>
    </row>
    <row r="199" spans="1:26" s="411" customFormat="1" ht="12.75" customHeight="1" x14ac:dyDescent="0.2">
      <c r="A199" s="756"/>
      <c r="B199" s="748"/>
      <c r="C199" s="1010">
        <f>C24</f>
        <v>2020</v>
      </c>
      <c r="D199" s="1010">
        <f t="shared" ref="D199:P199" si="32">D24</f>
        <v>2021</v>
      </c>
      <c r="E199" s="1010">
        <f t="shared" si="32"/>
        <v>2022</v>
      </c>
      <c r="F199" s="1010">
        <f t="shared" si="32"/>
        <v>2023</v>
      </c>
      <c r="G199" s="1010">
        <f t="shared" si="32"/>
        <v>2024</v>
      </c>
      <c r="H199" s="1010">
        <f t="shared" si="32"/>
        <v>2025</v>
      </c>
      <c r="I199" s="1010">
        <f t="shared" si="32"/>
        <v>2026</v>
      </c>
      <c r="J199" s="1010">
        <f t="shared" si="32"/>
        <v>2027</v>
      </c>
      <c r="K199" s="1010">
        <f t="shared" si="32"/>
        <v>2028</v>
      </c>
      <c r="L199" s="1010">
        <f t="shared" si="32"/>
        <v>2029</v>
      </c>
      <c r="M199" s="1010">
        <f t="shared" si="32"/>
        <v>2030</v>
      </c>
      <c r="N199" s="1010">
        <f t="shared" si="32"/>
        <v>2031</v>
      </c>
      <c r="O199" s="1010">
        <f t="shared" si="32"/>
        <v>2032</v>
      </c>
      <c r="P199" s="1010">
        <f t="shared" si="32"/>
        <v>2033</v>
      </c>
      <c r="Q199" s="1010">
        <f t="shared" ref="Q199:V199" si="33">Q24</f>
        <v>2034</v>
      </c>
      <c r="R199" s="1010">
        <f t="shared" si="33"/>
        <v>2035</v>
      </c>
      <c r="S199" s="1010">
        <f t="shared" si="33"/>
        <v>2036</v>
      </c>
      <c r="T199" s="1010">
        <f t="shared" si="33"/>
        <v>2037</v>
      </c>
      <c r="U199" s="1010">
        <f t="shared" si="33"/>
        <v>2038</v>
      </c>
      <c r="V199" s="1010">
        <f t="shared" si="33"/>
        <v>2039</v>
      </c>
      <c r="W199" s="695"/>
    </row>
    <row r="200" spans="1:26" s="953" customFormat="1" ht="29.25" customHeight="1" x14ac:dyDescent="0.2">
      <c r="A200" s="950"/>
      <c r="B200" s="621" t="s">
        <v>323</v>
      </c>
      <c r="C200" s="960">
        <f>C48</f>
        <v>0</v>
      </c>
      <c r="D200" s="960">
        <f t="shared" ref="D200:P200" si="34">D48</f>
        <v>0</v>
      </c>
      <c r="E200" s="960">
        <f t="shared" si="34"/>
        <v>0</v>
      </c>
      <c r="F200" s="960">
        <f t="shared" si="34"/>
        <v>0</v>
      </c>
      <c r="G200" s="960">
        <f t="shared" si="34"/>
        <v>0</v>
      </c>
      <c r="H200" s="960">
        <f t="shared" si="34"/>
        <v>0</v>
      </c>
      <c r="I200" s="960">
        <f t="shared" si="34"/>
        <v>0</v>
      </c>
      <c r="J200" s="960">
        <f t="shared" si="34"/>
        <v>0</v>
      </c>
      <c r="K200" s="960">
        <f t="shared" si="34"/>
        <v>0</v>
      </c>
      <c r="L200" s="960">
        <f t="shared" si="34"/>
        <v>0</v>
      </c>
      <c r="M200" s="960">
        <f t="shared" si="34"/>
        <v>0</v>
      </c>
      <c r="N200" s="960">
        <f t="shared" si="34"/>
        <v>0</v>
      </c>
      <c r="O200" s="960">
        <f t="shared" si="34"/>
        <v>0</v>
      </c>
      <c r="P200" s="960">
        <f t="shared" si="34"/>
        <v>0</v>
      </c>
      <c r="Q200" s="960">
        <f t="shared" ref="Q200:V200" si="35">Q48</f>
        <v>0</v>
      </c>
      <c r="R200" s="960">
        <f t="shared" si="35"/>
        <v>0</v>
      </c>
      <c r="S200" s="960">
        <f t="shared" si="35"/>
        <v>0</v>
      </c>
      <c r="T200" s="960">
        <f t="shared" si="35"/>
        <v>0</v>
      </c>
      <c r="U200" s="960">
        <f t="shared" si="35"/>
        <v>0</v>
      </c>
      <c r="V200" s="960">
        <f t="shared" si="35"/>
        <v>0</v>
      </c>
      <c r="W200" s="952"/>
    </row>
    <row r="201" spans="1:26" s="953" customFormat="1" x14ac:dyDescent="0.2">
      <c r="A201" s="950"/>
      <c r="B201" s="961" t="s">
        <v>20</v>
      </c>
      <c r="C201" s="948">
        <f>C46</f>
        <v>0</v>
      </c>
      <c r="D201" s="948">
        <f t="shared" ref="D201:P201" si="36">D46</f>
        <v>0</v>
      </c>
      <c r="E201" s="948">
        <f t="shared" si="36"/>
        <v>0</v>
      </c>
      <c r="F201" s="948">
        <f t="shared" si="36"/>
        <v>0</v>
      </c>
      <c r="G201" s="948">
        <f t="shared" si="36"/>
        <v>0</v>
      </c>
      <c r="H201" s="948">
        <f t="shared" si="36"/>
        <v>0</v>
      </c>
      <c r="I201" s="948">
        <f t="shared" si="36"/>
        <v>0</v>
      </c>
      <c r="J201" s="948">
        <f t="shared" si="36"/>
        <v>0</v>
      </c>
      <c r="K201" s="948">
        <f t="shared" si="36"/>
        <v>0</v>
      </c>
      <c r="L201" s="948">
        <f t="shared" si="36"/>
        <v>0</v>
      </c>
      <c r="M201" s="948">
        <f t="shared" si="36"/>
        <v>0</v>
      </c>
      <c r="N201" s="948">
        <f t="shared" si="36"/>
        <v>0</v>
      </c>
      <c r="O201" s="948">
        <f t="shared" si="36"/>
        <v>0</v>
      </c>
      <c r="P201" s="948">
        <f t="shared" si="36"/>
        <v>0</v>
      </c>
      <c r="Q201" s="948">
        <f t="shared" ref="Q201:V201" si="37">Q46</f>
        <v>0</v>
      </c>
      <c r="R201" s="948">
        <f t="shared" si="37"/>
        <v>0</v>
      </c>
      <c r="S201" s="948">
        <f t="shared" si="37"/>
        <v>0</v>
      </c>
      <c r="T201" s="948">
        <f t="shared" si="37"/>
        <v>0</v>
      </c>
      <c r="U201" s="948">
        <f t="shared" si="37"/>
        <v>0</v>
      </c>
      <c r="V201" s="948">
        <f t="shared" si="37"/>
        <v>0</v>
      </c>
      <c r="W201" s="952"/>
    </row>
    <row r="202" spans="1:26" s="953" customFormat="1" x14ac:dyDescent="0.2">
      <c r="A202" s="950"/>
      <c r="B202" s="621" t="s">
        <v>1057</v>
      </c>
      <c r="C202" s="948" t="str">
        <f>C42</f>
        <v/>
      </c>
      <c r="D202" s="948" t="str">
        <f t="shared" ref="D202:P202" si="38">D42</f>
        <v/>
      </c>
      <c r="E202" s="948" t="str">
        <f t="shared" si="38"/>
        <v/>
      </c>
      <c r="F202" s="948" t="str">
        <f t="shared" si="38"/>
        <v/>
      </c>
      <c r="G202" s="948" t="str">
        <f t="shared" si="38"/>
        <v/>
      </c>
      <c r="H202" s="948" t="str">
        <f t="shared" si="38"/>
        <v/>
      </c>
      <c r="I202" s="948" t="str">
        <f t="shared" si="38"/>
        <v/>
      </c>
      <c r="J202" s="948" t="str">
        <f t="shared" si="38"/>
        <v/>
      </c>
      <c r="K202" s="948" t="str">
        <f t="shared" si="38"/>
        <v/>
      </c>
      <c r="L202" s="948" t="str">
        <f t="shared" si="38"/>
        <v/>
      </c>
      <c r="M202" s="948" t="str">
        <f t="shared" si="38"/>
        <v/>
      </c>
      <c r="N202" s="948" t="str">
        <f t="shared" si="38"/>
        <v/>
      </c>
      <c r="O202" s="948" t="str">
        <f t="shared" si="38"/>
        <v/>
      </c>
      <c r="P202" s="948" t="str">
        <f t="shared" si="38"/>
        <v/>
      </c>
      <c r="Q202" s="948" t="str">
        <f t="shared" ref="Q202:V202" si="39">Q42</f>
        <v/>
      </c>
      <c r="R202" s="948" t="str">
        <f t="shared" si="39"/>
        <v/>
      </c>
      <c r="S202" s="948" t="str">
        <f t="shared" si="39"/>
        <v/>
      </c>
      <c r="T202" s="948" t="str">
        <f t="shared" si="39"/>
        <v/>
      </c>
      <c r="U202" s="948" t="str">
        <f t="shared" si="39"/>
        <v/>
      </c>
      <c r="V202" s="948" t="str">
        <f t="shared" si="39"/>
        <v/>
      </c>
      <c r="W202" s="952"/>
    </row>
    <row r="203" spans="1:26" s="953" customFormat="1" x14ac:dyDescent="0.2">
      <c r="A203" s="950"/>
      <c r="B203" s="621" t="s">
        <v>27</v>
      </c>
      <c r="C203" s="948">
        <f>C63</f>
        <v>0</v>
      </c>
      <c r="D203" s="948">
        <f t="shared" ref="D203:P203" si="40">D63</f>
        <v>0</v>
      </c>
      <c r="E203" s="948">
        <f t="shared" si="40"/>
        <v>0</v>
      </c>
      <c r="F203" s="948">
        <f t="shared" si="40"/>
        <v>0</v>
      </c>
      <c r="G203" s="948">
        <f t="shared" si="40"/>
        <v>0</v>
      </c>
      <c r="H203" s="948">
        <f t="shared" si="40"/>
        <v>0</v>
      </c>
      <c r="I203" s="948">
        <f t="shared" si="40"/>
        <v>0</v>
      </c>
      <c r="J203" s="948">
        <f t="shared" si="40"/>
        <v>0</v>
      </c>
      <c r="K203" s="948">
        <f t="shared" si="40"/>
        <v>0</v>
      </c>
      <c r="L203" s="948">
        <f t="shared" si="40"/>
        <v>0</v>
      </c>
      <c r="M203" s="948">
        <f t="shared" si="40"/>
        <v>0</v>
      </c>
      <c r="N203" s="948">
        <f t="shared" si="40"/>
        <v>0</v>
      </c>
      <c r="O203" s="948">
        <f t="shared" si="40"/>
        <v>0</v>
      </c>
      <c r="P203" s="948">
        <f t="shared" si="40"/>
        <v>0</v>
      </c>
      <c r="Q203" s="948">
        <f t="shared" ref="Q203:V203" si="41">Q63</f>
        <v>0</v>
      </c>
      <c r="R203" s="948">
        <f t="shared" si="41"/>
        <v>0</v>
      </c>
      <c r="S203" s="948">
        <f t="shared" si="41"/>
        <v>0</v>
      </c>
      <c r="T203" s="948">
        <f t="shared" si="41"/>
        <v>0</v>
      </c>
      <c r="U203" s="948">
        <f t="shared" si="41"/>
        <v>0</v>
      </c>
      <c r="V203" s="948">
        <f t="shared" si="41"/>
        <v>0</v>
      </c>
      <c r="W203" s="952"/>
    </row>
    <row r="204" spans="1:26" s="953" customFormat="1" x14ac:dyDescent="0.2">
      <c r="A204" s="950"/>
      <c r="B204" s="621" t="s">
        <v>891</v>
      </c>
      <c r="C204" s="948">
        <f>C50</f>
        <v>0</v>
      </c>
      <c r="D204" s="948">
        <f t="shared" ref="D204:P204" si="42">D50</f>
        <v>0</v>
      </c>
      <c r="E204" s="948">
        <f t="shared" si="42"/>
        <v>0</v>
      </c>
      <c r="F204" s="948">
        <f t="shared" si="42"/>
        <v>0</v>
      </c>
      <c r="G204" s="948">
        <f t="shared" si="42"/>
        <v>0</v>
      </c>
      <c r="H204" s="948">
        <f t="shared" si="42"/>
        <v>0</v>
      </c>
      <c r="I204" s="948">
        <f t="shared" si="42"/>
        <v>0</v>
      </c>
      <c r="J204" s="948">
        <f t="shared" si="42"/>
        <v>0</v>
      </c>
      <c r="K204" s="948">
        <f t="shared" si="42"/>
        <v>0</v>
      </c>
      <c r="L204" s="948">
        <f t="shared" si="42"/>
        <v>0</v>
      </c>
      <c r="M204" s="948">
        <f t="shared" si="42"/>
        <v>0</v>
      </c>
      <c r="N204" s="948">
        <f t="shared" si="42"/>
        <v>0</v>
      </c>
      <c r="O204" s="948">
        <f t="shared" si="42"/>
        <v>0</v>
      </c>
      <c r="P204" s="948">
        <f t="shared" si="42"/>
        <v>0</v>
      </c>
      <c r="Q204" s="948">
        <f t="shared" ref="Q204:V204" si="43">Q50</f>
        <v>0</v>
      </c>
      <c r="R204" s="948">
        <f t="shared" si="43"/>
        <v>0</v>
      </c>
      <c r="S204" s="948">
        <f t="shared" si="43"/>
        <v>0</v>
      </c>
      <c r="T204" s="948">
        <f t="shared" si="43"/>
        <v>0</v>
      </c>
      <c r="U204" s="948">
        <f t="shared" si="43"/>
        <v>0</v>
      </c>
      <c r="V204" s="948">
        <f t="shared" si="43"/>
        <v>0</v>
      </c>
      <c r="W204" s="952"/>
    </row>
    <row r="205" spans="1:26" x14ac:dyDescent="0.2">
      <c r="A205" s="736"/>
      <c r="B205" s="734"/>
      <c r="C205" s="734"/>
      <c r="D205" s="734"/>
      <c r="E205" s="734"/>
      <c r="F205" s="734"/>
      <c r="G205" s="734"/>
      <c r="H205" s="734"/>
      <c r="I205" s="734"/>
      <c r="J205" s="734"/>
      <c r="K205" s="734"/>
      <c r="L205" s="734"/>
      <c r="M205" s="734"/>
      <c r="N205" s="734"/>
      <c r="O205" s="734"/>
      <c r="P205" s="734"/>
      <c r="Q205" s="734"/>
      <c r="R205" s="734"/>
      <c r="S205" s="734"/>
      <c r="T205" s="734"/>
      <c r="U205" s="734"/>
      <c r="V205" s="734"/>
      <c r="W205" s="723"/>
    </row>
    <row r="206" spans="1:26" x14ac:dyDescent="0.2">
      <c r="A206" s="470"/>
      <c r="B206" s="471"/>
      <c r="C206" s="471"/>
      <c r="D206" s="471"/>
      <c r="E206" s="471"/>
      <c r="F206" s="471"/>
      <c r="G206" s="471"/>
      <c r="H206" s="471"/>
      <c r="I206" s="471"/>
      <c r="J206" s="471"/>
      <c r="K206" s="471"/>
      <c r="L206" s="471"/>
      <c r="M206" s="471"/>
      <c r="N206" s="471"/>
      <c r="O206" s="471"/>
      <c r="P206" s="471"/>
      <c r="Q206" s="471"/>
      <c r="R206" s="471"/>
      <c r="S206" s="471"/>
      <c r="T206" s="471"/>
      <c r="U206" s="471"/>
      <c r="V206" s="471"/>
    </row>
    <row r="207" spans="1:26" x14ac:dyDescent="0.2">
      <c r="A207" s="470"/>
      <c r="B207" s="471"/>
      <c r="C207" s="471"/>
      <c r="D207" s="471"/>
      <c r="E207" s="471"/>
      <c r="F207" s="471"/>
      <c r="G207" s="471"/>
      <c r="H207" s="471"/>
      <c r="I207" s="471"/>
      <c r="J207" s="471"/>
      <c r="K207" s="471"/>
      <c r="L207" s="471"/>
      <c r="M207" s="471"/>
      <c r="N207" s="471"/>
      <c r="O207" s="471"/>
      <c r="P207" s="471"/>
      <c r="Q207" s="471"/>
      <c r="R207" s="471"/>
      <c r="S207" s="471"/>
      <c r="T207" s="471"/>
      <c r="U207" s="471"/>
      <c r="V207" s="471"/>
    </row>
  </sheetData>
  <mergeCells count="29">
    <mergeCell ref="C143:D143"/>
    <mergeCell ref="E143:F143"/>
    <mergeCell ref="C145:D145"/>
    <mergeCell ref="E145:F145"/>
    <mergeCell ref="C147:D147"/>
    <mergeCell ref="D194:I194"/>
    <mergeCell ref="D152:I152"/>
    <mergeCell ref="D153:I153"/>
    <mergeCell ref="C175:E175"/>
    <mergeCell ref="C182:D182"/>
    <mergeCell ref="D186:I186"/>
    <mergeCell ref="E182:F182"/>
    <mergeCell ref="G182:H182"/>
    <mergeCell ref="D150:I150"/>
    <mergeCell ref="C146:D146"/>
    <mergeCell ref="D151:I151"/>
    <mergeCell ref="C1:P1"/>
    <mergeCell ref="D138:I138"/>
    <mergeCell ref="C142:D142"/>
    <mergeCell ref="E142:F142"/>
    <mergeCell ref="D133:H133"/>
    <mergeCell ref="D134:H134"/>
    <mergeCell ref="C6:I6"/>
    <mergeCell ref="D131:H131"/>
    <mergeCell ref="D132:H132"/>
    <mergeCell ref="C148:D148"/>
    <mergeCell ref="E148:F148"/>
    <mergeCell ref="E147:F147"/>
    <mergeCell ref="E146:F146"/>
  </mergeCells>
  <phoneticPr fontId="0" type="noConversion"/>
  <dataValidations count="7">
    <dataValidation type="list" allowBlank="1" showInputMessage="1" showErrorMessage="1" sqref="C197" xr:uid="{00000000-0002-0000-0100-000000000000}">
      <formula1>$X$194:$X$195</formula1>
    </dataValidation>
    <dataValidation type="list" allowBlank="1" showInputMessage="1" showErrorMessage="1" sqref="C196" xr:uid="{00000000-0002-0000-0100-000001000000}">
      <formula1>$X$190:$X$192</formula1>
    </dataValidation>
    <dataValidation type="list" allowBlank="1" showInputMessage="1" showErrorMessage="1" sqref="C195" xr:uid="{00000000-0002-0000-0100-000002000000}">
      <formula1>$X$187:$X$188</formula1>
    </dataValidation>
    <dataValidation type="list" allowBlank="1" showInputMessage="1" showErrorMessage="1" sqref="C194" xr:uid="{00000000-0002-0000-0100-000003000000}">
      <formula1>$X$183:$X$185</formula1>
    </dataValidation>
    <dataValidation type="list" allowBlank="1" showInputMessage="1" showErrorMessage="1" sqref="C186" xr:uid="{00000000-0002-0000-0100-000004000000}">
      <formula1>$X$183:$X$186</formula1>
    </dataValidation>
    <dataValidation type="list" allowBlank="1" showInputMessage="1" showErrorMessage="1" sqref="C11:V11" xr:uid="{00000000-0002-0000-0100-000005000000}">
      <formula1>$C$78:$C$81</formula1>
    </dataValidation>
    <dataValidation type="list" allowBlank="1" showInputMessage="1" showErrorMessage="1" sqref="C9" xr:uid="{00000000-0002-0000-0100-000006000000}">
      <formula1>$C$112:$C$123</formula1>
    </dataValidation>
  </dataValidations>
  <pageMargins left="0.75" right="0.75" top="1" bottom="1" header="0.5" footer="0.5"/>
  <pageSetup orientation="portrait" r:id="rId1"/>
  <headerFooter alignWithMargins="0"/>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
  <sheetViews>
    <sheetView workbookViewId="0">
      <selection activeCell="I17" sqref="I17"/>
    </sheetView>
  </sheetViews>
  <sheetFormatPr defaultRowHeight="12.75" x14ac:dyDescent="0.2"/>
  <cols>
    <col min="4" max="4" width="9.5703125" customWidth="1"/>
    <col min="9" max="9" width="9.28515625" customWidth="1"/>
  </cols>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A303"/>
  <sheetViews>
    <sheetView zoomScale="85" zoomScaleNormal="70" workbookViewId="0">
      <selection activeCell="J168" sqref="J168"/>
    </sheetView>
  </sheetViews>
  <sheetFormatPr defaultColWidth="10.42578125" defaultRowHeight="15" x14ac:dyDescent="0.25"/>
  <cols>
    <col min="1" max="1" width="15.140625" style="107" customWidth="1"/>
    <col min="2" max="2" width="8.7109375" style="108" customWidth="1"/>
    <col min="3" max="3" width="8.7109375" style="109" customWidth="1"/>
    <col min="4" max="4" width="8.7109375" style="108" customWidth="1"/>
    <col min="5" max="5" width="8.7109375" style="109" customWidth="1"/>
    <col min="6" max="6" width="8.7109375" style="108" customWidth="1"/>
    <col min="7" max="7" width="8.7109375" style="109" customWidth="1"/>
    <col min="8" max="8" width="8.7109375" style="108" customWidth="1"/>
    <col min="9" max="10" width="8.7109375" style="109" customWidth="1"/>
    <col min="11" max="11" width="8.7109375" style="108" customWidth="1"/>
    <col min="12" max="12" width="8.7109375" style="109" customWidth="1"/>
    <col min="13" max="13" width="8.7109375" style="108" customWidth="1"/>
    <col min="14" max="18" width="8.7109375" style="109" customWidth="1"/>
    <col min="19" max="19" width="8.7109375" style="108" customWidth="1"/>
    <col min="20" max="24" width="8.7109375" style="109" customWidth="1"/>
    <col min="25" max="26" width="8.7109375" style="110" customWidth="1"/>
    <col min="27" max="27" width="4.5703125" style="93" customWidth="1"/>
    <col min="28" max="16384" width="10.42578125" style="93"/>
  </cols>
  <sheetData>
    <row r="1" spans="1:27" s="94" customFormat="1" ht="25.5" customHeight="1" x14ac:dyDescent="0.25">
      <c r="A1" s="550" t="s">
        <v>493</v>
      </c>
      <c r="B1" s="551"/>
      <c r="C1" s="551"/>
      <c r="D1" s="551"/>
      <c r="E1" s="551"/>
      <c r="F1" s="551"/>
      <c r="G1" s="551"/>
      <c r="H1" s="551"/>
      <c r="I1" s="551"/>
      <c r="J1" s="551"/>
      <c r="K1" s="551"/>
      <c r="L1" s="551"/>
      <c r="M1" s="551"/>
      <c r="N1" s="551"/>
      <c r="O1" s="551"/>
      <c r="P1" s="551"/>
      <c r="Q1" s="551"/>
      <c r="R1" s="551"/>
      <c r="S1" s="551"/>
      <c r="T1" s="551"/>
      <c r="U1" s="551"/>
      <c r="V1" s="551"/>
      <c r="W1" s="551"/>
      <c r="X1" s="551"/>
      <c r="Y1" s="552"/>
      <c r="Z1" s="552"/>
      <c r="AA1" s="151"/>
    </row>
    <row r="2" spans="1:27" ht="20.100000000000001" customHeight="1" x14ac:dyDescent="0.25">
      <c r="A2" s="95"/>
      <c r="B2" s="1011">
        <f t="shared" ref="B2:V2" si="0">B9</f>
        <v>2020</v>
      </c>
      <c r="C2" s="1011">
        <f t="shared" si="0"/>
        <v>2021</v>
      </c>
      <c r="D2" s="1011">
        <f t="shared" si="0"/>
        <v>2022</v>
      </c>
      <c r="E2" s="1011">
        <f t="shared" si="0"/>
        <v>2023</v>
      </c>
      <c r="F2" s="1011">
        <f t="shared" si="0"/>
        <v>2024</v>
      </c>
      <c r="G2" s="1011">
        <f t="shared" si="0"/>
        <v>2025</v>
      </c>
      <c r="H2" s="1011">
        <f t="shared" si="0"/>
        <v>2026</v>
      </c>
      <c r="I2" s="1011">
        <f t="shared" si="0"/>
        <v>2027</v>
      </c>
      <c r="J2" s="1011">
        <f t="shared" si="0"/>
        <v>2028</v>
      </c>
      <c r="K2" s="1011">
        <f t="shared" si="0"/>
        <v>2029</v>
      </c>
      <c r="L2" s="1011">
        <f t="shared" si="0"/>
        <v>2030</v>
      </c>
      <c r="M2" s="1011">
        <f t="shared" si="0"/>
        <v>2031</v>
      </c>
      <c r="N2" s="1011">
        <f t="shared" si="0"/>
        <v>2032</v>
      </c>
      <c r="O2" s="1011">
        <f t="shared" si="0"/>
        <v>2033</v>
      </c>
      <c r="P2" s="1011">
        <f t="shared" si="0"/>
        <v>2034</v>
      </c>
      <c r="Q2" s="1011">
        <f t="shared" si="0"/>
        <v>2035</v>
      </c>
      <c r="R2" s="1011">
        <f t="shared" si="0"/>
        <v>2036</v>
      </c>
      <c r="S2" s="1011">
        <f t="shared" si="0"/>
        <v>2037</v>
      </c>
      <c r="T2" s="1011">
        <f t="shared" si="0"/>
        <v>2038</v>
      </c>
      <c r="U2" s="1011">
        <f t="shared" si="0"/>
        <v>2039</v>
      </c>
      <c r="V2" s="96" t="str">
        <f t="shared" si="0"/>
        <v>TOTAL</v>
      </c>
      <c r="W2" s="551"/>
      <c r="X2" s="551"/>
      <c r="Y2" s="551"/>
      <c r="Z2" s="551"/>
      <c r="AA2" s="150"/>
    </row>
    <row r="3" spans="1:27" s="94" customFormat="1" ht="20.100000000000001" customHeight="1" x14ac:dyDescent="0.25">
      <c r="A3" s="98" t="s">
        <v>491</v>
      </c>
      <c r="B3" s="99">
        <f>IF(AND(B10=0,$J$31=0,$M$31=0),0,$N$31)</f>
        <v>0</v>
      </c>
      <c r="C3" s="99">
        <f>IF(AND(C10=0,$J$45=0,$M$45=0),0,$N$45)</f>
        <v>0</v>
      </c>
      <c r="D3" s="99">
        <f>IF(AND(D10=0,$J$59=0,$M$59=0),0,$N$59)</f>
        <v>0</v>
      </c>
      <c r="E3" s="99">
        <f>IF(AND(E10=0,$J$73=0,$M$73=0),0,$N$73)</f>
        <v>3.9750000000000001E-2</v>
      </c>
      <c r="F3" s="99">
        <f>IF(AND(F10=0,$J$87=0,$M$87=0),0,$N$87)</f>
        <v>0.87450000000000006</v>
      </c>
      <c r="G3" s="99">
        <f>IF(AND(G10=0,$J$101=0,$M$101=0),0,$N$101)</f>
        <v>0.91027500000000028</v>
      </c>
      <c r="H3" s="99">
        <f>IF(AND(H10=0,$J$115=0,$M$115=0),0,$N$115)</f>
        <v>0.80613000000000079</v>
      </c>
      <c r="I3" s="99">
        <f>IF(AND(I10=0,$J$129=0,$M$129=0),0,$N$129)</f>
        <v>0.67853250000000098</v>
      </c>
      <c r="J3" s="99">
        <f>IF(AND(J10=0,$J$143=0,$M$143=0),0,$N$143)</f>
        <v>0.52231500000000097</v>
      </c>
      <c r="K3" s="99">
        <f>IF(AND(K10=0,$J$157=0,$M$157=0),0,$N$157)</f>
        <v>0.34185000000000093</v>
      </c>
      <c r="L3" s="99">
        <f>IF(AND(L10=0,$J$171=0,$M$171=0),0,$N$171)</f>
        <v>0.12918750000000087</v>
      </c>
      <c r="M3" s="99">
        <f>IF(AND(M10=0,$J$185=0,$M$185=0),0,$N$185)</f>
        <v>0</v>
      </c>
      <c r="N3" s="99">
        <f>IF(AND(N10=0,$J$199=0,$M$199=0),0,$N$199)</f>
        <v>0</v>
      </c>
      <c r="O3" s="99">
        <f>IF(AND(O10=0,$J$213=0,$M$213=0),0,$N$213)</f>
        <v>0</v>
      </c>
      <c r="P3" s="99">
        <f>IF(AND(P10=0,$J$227=0,$M$227=0),0,$N$227)</f>
        <v>0</v>
      </c>
      <c r="Q3" s="99">
        <f>IF(AND(Q10=0,$J$241=0,$M$241=0),0,$N$241)</f>
        <v>0</v>
      </c>
      <c r="R3" s="99">
        <f>IF(AND(R10=0,$J$255=0,$M$255=0),0,$N$255)</f>
        <v>0</v>
      </c>
      <c r="S3" s="99">
        <f>IF(AND(S10=0,$J$269=0,$M$269=0),0,$N$269)</f>
        <v>0</v>
      </c>
      <c r="T3" s="99">
        <f>IF(AND(T10=0,$J$283=0,$M$283=0),0,$N$283)</f>
        <v>0</v>
      </c>
      <c r="U3" s="99">
        <f>IF(AND(U10=0,$J$297=0,$M$297=0),0,$N$297)</f>
        <v>0</v>
      </c>
      <c r="V3" s="96">
        <f>SUM(B3:U3)</f>
        <v>4.3025400000000049</v>
      </c>
      <c r="W3" s="558"/>
      <c r="X3" s="558"/>
      <c r="Y3" s="558"/>
      <c r="Z3" s="558"/>
      <c r="AA3" s="151"/>
    </row>
    <row r="4" spans="1:27" ht="20.100000000000001" customHeight="1" x14ac:dyDescent="0.25">
      <c r="A4" s="95" t="s">
        <v>492</v>
      </c>
      <c r="B4" s="128">
        <f>$Q$31</f>
        <v>0</v>
      </c>
      <c r="C4" s="128">
        <f>$Q$45</f>
        <v>0</v>
      </c>
      <c r="D4" s="128">
        <f>$Q$59</f>
        <v>0</v>
      </c>
      <c r="E4" s="128">
        <f>$Q$73</f>
        <v>0</v>
      </c>
      <c r="F4" s="128">
        <f>$Q$87</f>
        <v>9.2749999999999999E-2</v>
      </c>
      <c r="G4" s="128">
        <f>$Q$101</f>
        <v>0.15900000000000003</v>
      </c>
      <c r="H4" s="128">
        <f>$Q$115</f>
        <v>0.15900000000000003</v>
      </c>
      <c r="I4" s="128">
        <f>$Q$129</f>
        <v>0.15900000000000003</v>
      </c>
      <c r="J4" s="128">
        <f>$Q$143</f>
        <v>0.15900000000000003</v>
      </c>
      <c r="K4" s="128">
        <f>$Q$157</f>
        <v>0.15900000000000003</v>
      </c>
      <c r="L4" s="128">
        <f>$Q$171</f>
        <v>0.15900000000000003</v>
      </c>
      <c r="M4" s="128">
        <f>$Q$185</f>
        <v>0.15900000000000003</v>
      </c>
      <c r="N4" s="128">
        <f>$Q$199</f>
        <v>0.15900000000000003</v>
      </c>
      <c r="O4" s="202">
        <f>$Q$297</f>
        <v>0.15900000000000003</v>
      </c>
      <c r="P4" s="202">
        <f t="shared" ref="P4:U4" si="1">$Q$297</f>
        <v>0.15900000000000003</v>
      </c>
      <c r="Q4" s="202">
        <f t="shared" si="1"/>
        <v>0.15900000000000003</v>
      </c>
      <c r="R4" s="202">
        <f t="shared" si="1"/>
        <v>0.15900000000000003</v>
      </c>
      <c r="S4" s="202">
        <f t="shared" si="1"/>
        <v>0.15900000000000003</v>
      </c>
      <c r="T4" s="202">
        <f t="shared" si="1"/>
        <v>0.15900000000000003</v>
      </c>
      <c r="U4" s="202">
        <f t="shared" si="1"/>
        <v>0.15900000000000003</v>
      </c>
      <c r="V4" s="96">
        <f>SUM(B4:U4)</f>
        <v>2.4777500000000003</v>
      </c>
      <c r="W4" s="551"/>
      <c r="X4" s="551"/>
      <c r="Y4" s="559"/>
      <c r="Z4" s="551"/>
      <c r="AA4" s="150"/>
    </row>
    <row r="5" spans="1:27" ht="20.100000000000001" customHeight="1" x14ac:dyDescent="0.25">
      <c r="A5" s="95" t="s">
        <v>505</v>
      </c>
      <c r="B5" s="203">
        <v>0</v>
      </c>
      <c r="C5" s="203">
        <v>0</v>
      </c>
      <c r="D5" s="203">
        <v>0</v>
      </c>
      <c r="E5" s="203">
        <v>0</v>
      </c>
      <c r="F5" s="203">
        <v>0</v>
      </c>
      <c r="G5" s="203">
        <v>0</v>
      </c>
      <c r="H5" s="203">
        <v>0</v>
      </c>
      <c r="I5" s="203">
        <v>0</v>
      </c>
      <c r="J5" s="203">
        <v>0</v>
      </c>
      <c r="K5" s="203">
        <v>0</v>
      </c>
      <c r="L5" s="203">
        <v>0</v>
      </c>
      <c r="M5" s="203">
        <v>0</v>
      </c>
      <c r="N5" s="203">
        <v>0</v>
      </c>
      <c r="O5" s="203">
        <v>0</v>
      </c>
      <c r="P5" s="203">
        <v>0</v>
      </c>
      <c r="Q5" s="203">
        <v>0</v>
      </c>
      <c r="R5" s="203">
        <v>0</v>
      </c>
      <c r="S5" s="203">
        <v>0</v>
      </c>
      <c r="T5" s="203">
        <v>0</v>
      </c>
      <c r="U5" s="203">
        <v>0</v>
      </c>
      <c r="V5" s="96">
        <f>SUM(B5:U5)</f>
        <v>0</v>
      </c>
      <c r="W5" s="554"/>
      <c r="X5" s="554"/>
      <c r="Y5" s="554"/>
      <c r="Z5" s="551"/>
      <c r="AA5" s="150"/>
    </row>
    <row r="6" spans="1:27" ht="20.100000000000001" customHeight="1" x14ac:dyDescent="0.25">
      <c r="A6" s="98" t="s">
        <v>258</v>
      </c>
      <c r="B6" s="99">
        <f>SUM(B3:B5)</f>
        <v>0</v>
      </c>
      <c r="C6" s="99">
        <f t="shared" ref="C6:O6" si="2">SUM(C3:C5)</f>
        <v>0</v>
      </c>
      <c r="D6" s="99">
        <f t="shared" si="2"/>
        <v>0</v>
      </c>
      <c r="E6" s="99">
        <f t="shared" si="2"/>
        <v>3.9750000000000001E-2</v>
      </c>
      <c r="F6" s="99">
        <f t="shared" si="2"/>
        <v>0.96725000000000005</v>
      </c>
      <c r="G6" s="99">
        <f t="shared" si="2"/>
        <v>1.0692750000000002</v>
      </c>
      <c r="H6" s="99">
        <f t="shared" si="2"/>
        <v>0.96513000000000082</v>
      </c>
      <c r="I6" s="99">
        <f t="shared" si="2"/>
        <v>0.83753250000000101</v>
      </c>
      <c r="J6" s="99">
        <f t="shared" si="2"/>
        <v>0.681315000000001</v>
      </c>
      <c r="K6" s="99">
        <f t="shared" si="2"/>
        <v>0.50085000000000091</v>
      </c>
      <c r="L6" s="99">
        <f t="shared" si="2"/>
        <v>0.28818750000000093</v>
      </c>
      <c r="M6" s="99">
        <f t="shared" si="2"/>
        <v>0.15900000000000003</v>
      </c>
      <c r="N6" s="99">
        <f t="shared" si="2"/>
        <v>0.15900000000000003</v>
      </c>
      <c r="O6" s="99">
        <f t="shared" si="2"/>
        <v>0.15900000000000003</v>
      </c>
      <c r="P6" s="99">
        <f t="shared" ref="P6:U6" si="3">SUM(P3:P5)</f>
        <v>0.15900000000000003</v>
      </c>
      <c r="Q6" s="99">
        <f t="shared" si="3"/>
        <v>0.15900000000000003</v>
      </c>
      <c r="R6" s="99">
        <f t="shared" si="3"/>
        <v>0.15900000000000003</v>
      </c>
      <c r="S6" s="99">
        <f t="shared" si="3"/>
        <v>0.15900000000000003</v>
      </c>
      <c r="T6" s="99">
        <f t="shared" si="3"/>
        <v>0.15900000000000003</v>
      </c>
      <c r="U6" s="99">
        <f t="shared" si="3"/>
        <v>0.15900000000000003</v>
      </c>
      <c r="V6" s="96">
        <f>SUM(B6:U6)</f>
        <v>6.7802900000000026</v>
      </c>
      <c r="W6" s="551"/>
      <c r="X6" s="551"/>
      <c r="Y6" s="551"/>
      <c r="Z6" s="551"/>
      <c r="AA6" s="150"/>
    </row>
    <row r="7" spans="1:27" ht="32.25" customHeight="1" x14ac:dyDescent="0.25">
      <c r="A7" s="553"/>
      <c r="B7" s="551"/>
      <c r="C7" s="554"/>
      <c r="D7" s="551"/>
      <c r="E7" s="554"/>
      <c r="F7" s="551"/>
      <c r="G7" s="554"/>
      <c r="H7" s="551"/>
      <c r="I7" s="554"/>
      <c r="J7" s="554"/>
      <c r="K7" s="551"/>
      <c r="L7" s="554"/>
      <c r="M7" s="551"/>
      <c r="N7" s="554"/>
      <c r="O7" s="554"/>
      <c r="P7" s="554"/>
      <c r="Q7" s="554"/>
      <c r="R7" s="1078"/>
      <c r="S7" s="1078"/>
      <c r="T7" s="554"/>
      <c r="U7" s="554"/>
      <c r="V7" s="554"/>
      <c r="W7" s="554"/>
      <c r="X7" s="554"/>
      <c r="Y7" s="552"/>
      <c r="Z7" s="552"/>
      <c r="AA7" s="150"/>
    </row>
    <row r="8" spans="1:27" s="100" customFormat="1" x14ac:dyDescent="0.25">
      <c r="A8" s="555" t="s">
        <v>494</v>
      </c>
      <c r="B8" s="556"/>
      <c r="C8" s="556"/>
      <c r="D8" s="556"/>
      <c r="E8" s="556"/>
      <c r="F8" s="556"/>
      <c r="G8" s="556"/>
      <c r="H8" s="556"/>
      <c r="I8" s="556"/>
      <c r="J8" s="556"/>
      <c r="K8" s="556"/>
      <c r="L8" s="556"/>
      <c r="M8" s="556"/>
      <c r="N8" s="556"/>
      <c r="O8" s="557"/>
      <c r="P8" s="557"/>
      <c r="Q8" s="557"/>
      <c r="R8" s="1079"/>
      <c r="S8" s="1079"/>
      <c r="T8" s="557"/>
      <c r="U8" s="557"/>
      <c r="V8" s="557"/>
      <c r="W8" s="557"/>
      <c r="X8" s="557"/>
      <c r="Y8" s="557"/>
      <c r="Z8" s="557"/>
      <c r="AA8" s="152"/>
    </row>
    <row r="9" spans="1:27" s="102" customFormat="1" ht="15" customHeight="1" x14ac:dyDescent="0.25">
      <c r="A9" s="168"/>
      <c r="B9" s="101">
        <f>A18</f>
        <v>2020</v>
      </c>
      <c r="C9" s="101">
        <f>A32</f>
        <v>2021</v>
      </c>
      <c r="D9" s="101">
        <f>A46</f>
        <v>2022</v>
      </c>
      <c r="E9" s="101">
        <f>A60</f>
        <v>2023</v>
      </c>
      <c r="F9" s="101">
        <f>A74</f>
        <v>2024</v>
      </c>
      <c r="G9" s="101">
        <f>A88</f>
        <v>2025</v>
      </c>
      <c r="H9" s="101">
        <f>A102</f>
        <v>2026</v>
      </c>
      <c r="I9" s="101">
        <f>A116</f>
        <v>2027</v>
      </c>
      <c r="J9" s="101">
        <f>A130</f>
        <v>2028</v>
      </c>
      <c r="K9" s="101">
        <f>A144</f>
        <v>2029</v>
      </c>
      <c r="L9" s="101">
        <f>A158</f>
        <v>2030</v>
      </c>
      <c r="M9" s="101">
        <f>A172</f>
        <v>2031</v>
      </c>
      <c r="N9" s="149">
        <f>A186</f>
        <v>2032</v>
      </c>
      <c r="O9" s="101">
        <f>A200</f>
        <v>2033</v>
      </c>
      <c r="P9" s="101">
        <f>B214</f>
        <v>2034</v>
      </c>
      <c r="Q9" s="101">
        <f>C228</f>
        <v>2035</v>
      </c>
      <c r="R9" s="101">
        <f>D242</f>
        <v>2036</v>
      </c>
      <c r="S9" s="101">
        <f>E256</f>
        <v>2037</v>
      </c>
      <c r="T9" s="101">
        <f>F270</f>
        <v>2038</v>
      </c>
      <c r="U9" s="101">
        <f>G284</f>
        <v>2039</v>
      </c>
      <c r="V9" s="212" t="s">
        <v>258</v>
      </c>
      <c r="W9" s="561"/>
      <c r="X9" s="561"/>
      <c r="Y9" s="560"/>
      <c r="Z9" s="560"/>
      <c r="AA9" s="153"/>
    </row>
    <row r="10" spans="1:27" s="104" customFormat="1" ht="61.5" customHeight="1" x14ac:dyDescent="0.25">
      <c r="A10" s="822" t="s">
        <v>782</v>
      </c>
      <c r="B10" s="103">
        <f>$B$31+$D$31+$F$31+$H$31+$K$31</f>
        <v>0</v>
      </c>
      <c r="C10" s="103">
        <f>$B$45+$D$45+$F$45+$H$45+$K$45</f>
        <v>0</v>
      </c>
      <c r="D10" s="103">
        <f>$B$59+$D$59+$F$59+$H$59+$K$59</f>
        <v>0</v>
      </c>
      <c r="E10" s="103">
        <f>$B$73+$D$73+$F$73+$H$73+$K$73</f>
        <v>0</v>
      </c>
      <c r="F10" s="103">
        <f>$B$87+$D$87+$F$87+$H$87+$K$87</f>
        <v>0</v>
      </c>
      <c r="G10" s="103">
        <f>$B$101+$D$101+$F$101+$H$101+$K$101</f>
        <v>1.2</v>
      </c>
      <c r="H10" s="103">
        <f>$B$115+$D$115+$F$115+$H$115+$K$115</f>
        <v>1.4400000000000004</v>
      </c>
      <c r="I10" s="103">
        <f>$B$129+$D$129+$F$129+$H$129+$K$129</f>
        <v>1.7999999999999996</v>
      </c>
      <c r="J10" s="103">
        <f>$B$143+$D$143+$F$143+$H$143+$K$143</f>
        <v>2.1599999999999997</v>
      </c>
      <c r="K10" s="103">
        <f>$B$157+$D$157+$F$157+$H$157+$K$157</f>
        <v>2.4</v>
      </c>
      <c r="L10" s="103">
        <f>$B$171+$D$171+$F$171+$H$171+$K$171</f>
        <v>3</v>
      </c>
      <c r="M10" s="103">
        <f>$B$185+$D$185+$F$185+$H$185+$K$185</f>
        <v>0</v>
      </c>
      <c r="N10" s="103">
        <f>$B$199+$D$199+$F$199+$H$199+$K$199</f>
        <v>0</v>
      </c>
      <c r="O10" s="103">
        <f>$B$213+$D$213+$F$213+$H$213+$K$213</f>
        <v>0</v>
      </c>
      <c r="P10" s="103">
        <f>$B$227+$D$227+$F$227+$H$227+$K$227</f>
        <v>0</v>
      </c>
      <c r="Q10" s="103">
        <f>$B$241+$D$241+$F$241+$H$241+$K$241</f>
        <v>0</v>
      </c>
      <c r="R10" s="103">
        <f>$B$255+$D$255+$F$255+$H$255+$K$255</f>
        <v>0</v>
      </c>
      <c r="S10" s="103">
        <f>$B$269+$D$269+$F$269+$H$269+$K$269</f>
        <v>0</v>
      </c>
      <c r="T10" s="103">
        <f>$B$283+$D$283+$F$283+$H$283+$K$283</f>
        <v>0</v>
      </c>
      <c r="U10" s="103">
        <f>$B$297+$D$297+$F$297+$H$297+$K$297</f>
        <v>0</v>
      </c>
      <c r="V10" s="999">
        <f>SUM(B10:U10)</f>
        <v>12</v>
      </c>
      <c r="W10" s="562"/>
      <c r="X10" s="562"/>
      <c r="Y10" s="554"/>
      <c r="Z10" s="562"/>
      <c r="AA10" s="154"/>
    </row>
    <row r="11" spans="1:27" s="104" customFormat="1" ht="43.5" customHeight="1" x14ac:dyDescent="0.25">
      <c r="A11" s="791" t="s">
        <v>792</v>
      </c>
      <c r="B11" s="103">
        <f>IF(B10=0,0,($C$19-$B$31)+($E$19-$D$31)+($G$19-$F$31)+$I$19+SUM($J$20:$J$30)-$H$31)+$L$19+SUM($M$20:$M$30)-$K$31</f>
        <v>0</v>
      </c>
      <c r="C11" s="103">
        <f>IF(C10=0,0,($C$33-$B$45)+($E$33-$D$45)+($G$33-$F$45)+$I$33+SUM($J$34:$J$44)-$H$45)+$L$33+SUM($M$34:$M$44)-$K$45</f>
        <v>0</v>
      </c>
      <c r="D11" s="103">
        <f>IF(D10=0,0,($C$47-$B$59)+($E$47-$D$59)+($G$47-$F$59)+$I$47+SUM($J$48:$J$58)-$H$59)+$L$47+SUM($M$48:$M$58)-$K$59</f>
        <v>0</v>
      </c>
      <c r="E11" s="103">
        <f>IF(E10=0,0,($C$61-$B$73)+($E$61-$D$73)+($G$61-$F$73)+$I$61+SUM($J$62:$J$72)-$H$73)+$L$61+SUM($M$62:$M$72)-$K$73</f>
        <v>0</v>
      </c>
      <c r="F11" s="103">
        <f>IF(F10=0,0,($C$75-$B$87)+($E$75-$D$87)+($G$75-$F$87)+$I$75+SUM($J$76:$J$86)-$H$87)+$L$75+SUM($M$76:$M$86)-$K$87</f>
        <v>0</v>
      </c>
      <c r="G11" s="103">
        <f>IF(G10=0,0,($C$89-$B$101)+($E$89-$D$101)+($G$89-$F$101)+$I$89+SUM($J$90:$J$100)-$H$101)+$L$89+SUM($M$90:$M$100)-$K$101</f>
        <v>10.8</v>
      </c>
      <c r="H11" s="103">
        <f>IF(H10=0,0,($C$103-$B$115)+($E$103-$D$115)+($G$103-$F$115)+$I$103+SUM($J$104:$J$114)-$H$115)+$L$103+SUM($M$104:$M$114)-$K$115</f>
        <v>9.360000000000003</v>
      </c>
      <c r="I11" s="103">
        <f>IF(I10=0,0,($C$117-$B$129)+($E$117-$D$129)+($G$117-$F$129)+$I$117+SUM($J$118:$J$128)-$H$129)+$L$117+SUM($M$118:$M$128)-$K$129</f>
        <v>7.5600000000000138</v>
      </c>
      <c r="J11" s="103">
        <f>IF(J10=0,0,($C$131-$B$143)+($E$131-$D$143)+($G$131-$F$143)+$I$131+SUM($J$132:$J$142)-$H$143)+$L$131+SUM($M$132:$M$142)-$K$143</f>
        <v>5.4000000000000092</v>
      </c>
      <c r="K11" s="103">
        <f>IF(K10=0,0,($C$145-$B$157)+($E$145-$D$157)+($G$145-$F$157)+$I$145+SUM($J$146:$J$156)-$H$157)+$L$145+SUM($M$146:$M$156)-$K$157</f>
        <v>3.0000000000000129</v>
      </c>
      <c r="L11" s="103">
        <f>IF(L10=0,0,($C$159-$B$171)+($E$159-$D$171)+($G$159-$F$171)+$I$159+SUM($J$160:$J$170)-$H$171)+$L$159+SUM($M$160:$M$170)-$K$171</f>
        <v>1.0658141036401503E-14</v>
      </c>
      <c r="M11" s="103">
        <f>IF(M10=0,0,($C$173-$B$185)+($E$173-$D$185)+($G$173-$F$185)+$I$173+SUM($J$174:$J$184)-$H$185)+$L$173+SUM($M$174:$M$184)-$K$185</f>
        <v>0</v>
      </c>
      <c r="N11" s="103">
        <f>IF(N10=0,0,($C$187-$B$199)+($E$187-$D$199)+($G$187-$F$199)+$I$187+SUM($J$188:$J$198)-$H$199)+$L$187+SUM($M$188:$M$198)-$K$199</f>
        <v>0</v>
      </c>
      <c r="O11" s="103">
        <f>IF(O10=0,0,($C$201-$B$213)+($E$201-$D$213)+($G$201-$F$213)+$I$201+SUM($J$202:$J$212)-$H$213)+$L$201+SUM($M$202:$M$212)-$K$213</f>
        <v>0</v>
      </c>
      <c r="P11" s="103">
        <f>IF(P10=0,0,($C$215-$B$227)+($E$215-$D$227)+($G$215-$F$227)+$I$215+SUM($J$216:$J$226)-$H$227)+$L$215+SUM($M$216:$M$226)-$K$227</f>
        <v>0</v>
      </c>
      <c r="Q11" s="103">
        <f>IF(Q10=0,0,($C$229-$B$241)+($E$229-$D$241)+($G$229-$F$241)+$I$229+SUM($J$230:$J$240)-$H$241)+$L$229+SUM($M$230:$M$240)-$K$241</f>
        <v>0</v>
      </c>
      <c r="R11" s="103">
        <f>IF(R10=0,0,($C$243-$B$255)+($E$243-$D$255)+($G$243-$F$255)+$I$243+SUM($J$242:$J$254)-$H$255)+$L$243+SUM($M$242:$M$254)-$K$255</f>
        <v>2036</v>
      </c>
      <c r="S11" s="103">
        <f>IF(S10=0,0,($C$257-$B$269)+($E$257-$D$269)+($G$257-$F$269)+$I$257+SUM($J$258:$J$268)-$H$269)+$L$257+SUM($M$258:$M$268)-$K$269</f>
        <v>0</v>
      </c>
      <c r="T11" s="103">
        <f>IF(T10=0,0,($C$271-$B$283)+($E$271-$D$283)+($G$271-$F$283)+$I$271+SUM($J$272:$J$282)-$H$283)+$L$271+SUM($M$272:$M$282)-$K$283</f>
        <v>0</v>
      </c>
      <c r="U11" s="989"/>
      <c r="V11" s="990"/>
      <c r="W11" s="562"/>
      <c r="X11" s="562"/>
      <c r="Y11" s="562"/>
      <c r="Z11" s="562"/>
      <c r="AA11" s="154"/>
    </row>
    <row r="12" spans="1:27" ht="38.25" customHeight="1" x14ac:dyDescent="0.25">
      <c r="A12" s="563"/>
      <c r="B12" s="551"/>
      <c r="C12" s="554"/>
      <c r="D12" s="551"/>
      <c r="E12" s="554"/>
      <c r="F12" s="551"/>
      <c r="G12" s="554"/>
      <c r="H12" s="551"/>
      <c r="I12" s="554"/>
      <c r="J12" s="554"/>
      <c r="K12" s="551"/>
      <c r="L12" s="554"/>
      <c r="M12" s="551"/>
      <c r="N12" s="554"/>
      <c r="O12" s="554"/>
      <c r="P12" s="554"/>
      <c r="Q12" s="554"/>
      <c r="R12" s="554"/>
      <c r="S12" s="551"/>
      <c r="T12" s="554"/>
      <c r="U12" s="554"/>
      <c r="V12" s="554"/>
      <c r="W12" s="554"/>
      <c r="X12" s="554"/>
      <c r="Y12" s="552"/>
      <c r="Z12" s="552"/>
      <c r="AA12" s="150"/>
    </row>
    <row r="13" spans="1:27" s="815" customFormat="1" ht="18.75" customHeight="1" x14ac:dyDescent="0.2">
      <c r="A13" s="1084" t="str">
        <f>IF(AND(B299=C16,D299=E16,F299=G16,H299=J299,K299=M299),"",A302)</f>
        <v/>
      </c>
      <c r="B13" s="1085"/>
      <c r="C13" s="1085"/>
      <c r="D13" s="1085"/>
      <c r="E13" s="1085"/>
      <c r="F13" s="1085"/>
      <c r="G13" s="1085"/>
      <c r="H13" s="1085"/>
      <c r="I13" s="1085"/>
      <c r="J13" s="1085"/>
      <c r="K13" s="1085"/>
      <c r="L13" s="1085"/>
      <c r="M13" s="1085"/>
      <c r="N13" s="1085"/>
      <c r="O13" s="1085"/>
      <c r="P13" s="1085"/>
      <c r="Q13" s="1085"/>
      <c r="R13" s="1085"/>
      <c r="S13" s="1085"/>
      <c r="T13" s="1085"/>
      <c r="U13" s="1085"/>
      <c r="V13" s="1085"/>
      <c r="W13" s="1085"/>
      <c r="X13" s="1085"/>
      <c r="Y13" s="813"/>
      <c r="Z13" s="813"/>
      <c r="AA13" s="814"/>
    </row>
    <row r="14" spans="1:27" ht="30" customHeight="1" x14ac:dyDescent="0.25">
      <c r="A14" s="941" t="s">
        <v>1051</v>
      </c>
      <c r="B14" s="1066" t="s">
        <v>661</v>
      </c>
      <c r="C14" s="1067"/>
      <c r="D14" s="1066" t="s">
        <v>662</v>
      </c>
      <c r="E14" s="1067"/>
      <c r="F14" s="1066" t="s">
        <v>663</v>
      </c>
      <c r="G14" s="1067"/>
      <c r="H14" s="1068" t="s">
        <v>819</v>
      </c>
      <c r="I14" s="1069"/>
      <c r="J14" s="1070"/>
      <c r="K14" s="1068" t="s">
        <v>820</v>
      </c>
      <c r="L14" s="1069"/>
      <c r="M14" s="1070"/>
      <c r="N14" s="1086" t="s">
        <v>596</v>
      </c>
      <c r="O14" s="1080" t="s">
        <v>487</v>
      </c>
      <c r="P14" s="1080"/>
      <c r="Q14" s="1080"/>
      <c r="R14" s="1081"/>
      <c r="S14" s="1082" t="s">
        <v>769</v>
      </c>
      <c r="T14" s="1063" t="s">
        <v>658</v>
      </c>
      <c r="U14" s="1063" t="s">
        <v>659</v>
      </c>
      <c r="V14" s="1063" t="s">
        <v>660</v>
      </c>
      <c r="W14" s="1075" t="s">
        <v>822</v>
      </c>
      <c r="X14" s="1075" t="s">
        <v>823</v>
      </c>
      <c r="Y14" s="552"/>
      <c r="Z14" s="552"/>
      <c r="AA14" s="150"/>
    </row>
    <row r="15" spans="1:27" s="79" customFormat="1" ht="98.25" customHeight="1" x14ac:dyDescent="0.25">
      <c r="A15" s="940" t="s">
        <v>879</v>
      </c>
      <c r="B15" s="1073" t="s">
        <v>824</v>
      </c>
      <c r="C15" s="782" t="s">
        <v>827</v>
      </c>
      <c r="D15" s="1073" t="s">
        <v>825</v>
      </c>
      <c r="E15" s="782" t="s">
        <v>828</v>
      </c>
      <c r="F15" s="1073" t="s">
        <v>826</v>
      </c>
      <c r="G15" s="782" t="s">
        <v>829</v>
      </c>
      <c r="H15" s="549" t="s">
        <v>830</v>
      </c>
      <c r="I15" s="1071" t="s">
        <v>657</v>
      </c>
      <c r="J15" s="549" t="s">
        <v>833</v>
      </c>
      <c r="K15" s="549" t="s">
        <v>831</v>
      </c>
      <c r="L15" s="1071" t="s">
        <v>657</v>
      </c>
      <c r="M15" s="549" t="s">
        <v>834</v>
      </c>
      <c r="N15" s="1087"/>
      <c r="O15" s="785" t="s">
        <v>793</v>
      </c>
      <c r="P15" s="786" t="s">
        <v>832</v>
      </c>
      <c r="Q15" s="787" t="s">
        <v>501</v>
      </c>
      <c r="R15" s="787" t="s">
        <v>607</v>
      </c>
      <c r="S15" s="1083"/>
      <c r="T15" s="1064"/>
      <c r="U15" s="1064"/>
      <c r="V15" s="1064"/>
      <c r="W15" s="1076"/>
      <c r="X15" s="1076"/>
      <c r="Y15" s="570"/>
      <c r="Z15" s="570"/>
      <c r="AA15" s="156"/>
    </row>
    <row r="16" spans="1:27" s="79" customFormat="1" ht="43.5" customHeight="1" x14ac:dyDescent="0.25">
      <c r="A16" s="564" t="s">
        <v>942</v>
      </c>
      <c r="B16" s="1074"/>
      <c r="C16" s="887">
        <f>B299</f>
        <v>0</v>
      </c>
      <c r="D16" s="1074"/>
      <c r="E16" s="887">
        <f>D299</f>
        <v>0</v>
      </c>
      <c r="F16" s="1074"/>
      <c r="G16" s="887">
        <f>F299</f>
        <v>0</v>
      </c>
      <c r="H16" s="888">
        <f>H299</f>
        <v>12</v>
      </c>
      <c r="I16" s="1072"/>
      <c r="J16" s="888">
        <f>J299</f>
        <v>12</v>
      </c>
      <c r="K16" s="888">
        <f>K299</f>
        <v>0</v>
      </c>
      <c r="L16" s="1072"/>
      <c r="M16" s="888">
        <f>M299</f>
        <v>0</v>
      </c>
      <c r="N16" s="1088"/>
      <c r="O16" s="689">
        <v>0</v>
      </c>
      <c r="P16" s="889">
        <f>P31+P45+P59+P73+P87+P101+P115+P129+P143+P157+P171+P185+P199+P297</f>
        <v>2</v>
      </c>
      <c r="Q16" s="201">
        <v>7.95</v>
      </c>
      <c r="R16" s="201">
        <v>100</v>
      </c>
      <c r="S16" s="1083"/>
      <c r="T16" s="1064"/>
      <c r="U16" s="1064"/>
      <c r="V16" s="1064"/>
      <c r="W16" s="1076"/>
      <c r="X16" s="1076"/>
      <c r="Y16" s="570"/>
      <c r="Z16" s="570"/>
      <c r="AA16" s="156"/>
    </row>
    <row r="17" spans="1:27" s="79" customFormat="1" ht="22.5" customHeight="1" x14ac:dyDescent="0.25">
      <c r="A17" s="564" t="s">
        <v>501</v>
      </c>
      <c r="B17" s="783"/>
      <c r="C17" s="691">
        <v>0</v>
      </c>
      <c r="D17" s="783"/>
      <c r="E17" s="158">
        <v>0</v>
      </c>
      <c r="F17" s="783"/>
      <c r="G17" s="158">
        <v>0</v>
      </c>
      <c r="H17" s="783"/>
      <c r="I17" s="158">
        <v>7.95</v>
      </c>
      <c r="J17" s="783"/>
      <c r="K17" s="783"/>
      <c r="L17" s="158">
        <v>0</v>
      </c>
      <c r="M17" s="783"/>
      <c r="N17" s="784"/>
      <c r="O17" s="784"/>
      <c r="P17" s="784"/>
      <c r="Q17" s="784"/>
      <c r="R17" s="784"/>
      <c r="S17" s="788"/>
      <c r="T17" s="1065"/>
      <c r="U17" s="1065"/>
      <c r="V17" s="1065"/>
      <c r="W17" s="1077"/>
      <c r="X17" s="1077"/>
      <c r="Y17" s="570"/>
      <c r="Z17" s="570"/>
      <c r="AA17" s="156"/>
    </row>
    <row r="18" spans="1:27" x14ac:dyDescent="0.25">
      <c r="A18" s="106">
        <f>'Oper.St.'!C11</f>
        <v>2020</v>
      </c>
      <c r="B18" s="1011">
        <f>A18</f>
        <v>2020</v>
      </c>
      <c r="C18" s="1011">
        <f>B18</f>
        <v>2020</v>
      </c>
      <c r="D18" s="1011">
        <f>C18</f>
        <v>2020</v>
      </c>
      <c r="E18" s="1011">
        <f t="shared" ref="E18:X18" si="4">D18</f>
        <v>2020</v>
      </c>
      <c r="F18" s="1011">
        <f t="shared" si="4"/>
        <v>2020</v>
      </c>
      <c r="G18" s="1011">
        <f t="shared" si="4"/>
        <v>2020</v>
      </c>
      <c r="H18" s="1011">
        <f t="shared" si="4"/>
        <v>2020</v>
      </c>
      <c r="I18" s="1011">
        <f t="shared" si="4"/>
        <v>2020</v>
      </c>
      <c r="J18" s="1011"/>
      <c r="K18" s="1011">
        <f>I18</f>
        <v>2020</v>
      </c>
      <c r="L18" s="1011">
        <f t="shared" si="4"/>
        <v>2020</v>
      </c>
      <c r="M18" s="1011">
        <f t="shared" si="4"/>
        <v>2020</v>
      </c>
      <c r="N18" s="1011">
        <f t="shared" si="4"/>
        <v>2020</v>
      </c>
      <c r="O18" s="1011">
        <f t="shared" si="4"/>
        <v>2020</v>
      </c>
      <c r="P18" s="1011">
        <f t="shared" si="4"/>
        <v>2020</v>
      </c>
      <c r="Q18" s="1011">
        <f>O18</f>
        <v>2020</v>
      </c>
      <c r="R18" s="1011">
        <f t="shared" si="4"/>
        <v>2020</v>
      </c>
      <c r="S18" s="1011">
        <f t="shared" si="4"/>
        <v>2020</v>
      </c>
      <c r="T18" s="1011">
        <f t="shared" si="4"/>
        <v>2020</v>
      </c>
      <c r="U18" s="1011">
        <f t="shared" si="4"/>
        <v>2020</v>
      </c>
      <c r="V18" s="1011">
        <f t="shared" si="4"/>
        <v>2020</v>
      </c>
      <c r="W18" s="1011">
        <f t="shared" si="4"/>
        <v>2020</v>
      </c>
      <c r="X18" s="1011">
        <f t="shared" si="4"/>
        <v>2020</v>
      </c>
      <c r="Y18" s="552"/>
      <c r="Z18" s="552"/>
      <c r="AA18" s="150"/>
    </row>
    <row r="19" spans="1:27" x14ac:dyDescent="0.25">
      <c r="A19" s="95" t="s">
        <v>472</v>
      </c>
      <c r="B19" s="159"/>
      <c r="C19" s="565">
        <f>C16</f>
        <v>0</v>
      </c>
      <c r="D19" s="159"/>
      <c r="E19" s="565">
        <f>E16</f>
        <v>0</v>
      </c>
      <c r="F19" s="159"/>
      <c r="G19" s="565">
        <f>G16</f>
        <v>0</v>
      </c>
      <c r="H19" s="548"/>
      <c r="I19" s="565">
        <f>J19</f>
        <v>0</v>
      </c>
      <c r="J19" s="548"/>
      <c r="K19" s="688"/>
      <c r="L19" s="565">
        <f>M19</f>
        <v>0</v>
      </c>
      <c r="M19" s="688"/>
      <c r="N19" s="565">
        <f t="shared" ref="N19:N30" si="5">T19+U19+V19+W19+X19</f>
        <v>0</v>
      </c>
      <c r="O19" s="565">
        <f>$O$16+P19</f>
        <v>0</v>
      </c>
      <c r="P19" s="688"/>
      <c r="Q19" s="565">
        <f>O19*$Q$16/100/12*$R$16/100</f>
        <v>0</v>
      </c>
      <c r="R19" s="565"/>
      <c r="S19" s="566"/>
      <c r="T19" s="685">
        <f t="shared" ref="T19:T30" si="6">C19*$C$17/100/12</f>
        <v>0</v>
      </c>
      <c r="U19" s="685">
        <f>E19*$E$17/100/12</f>
        <v>0</v>
      </c>
      <c r="V19" s="685">
        <f>G19*$G$17/100/12</f>
        <v>0</v>
      </c>
      <c r="W19" s="684">
        <f>I19*$I$17/100/12</f>
        <v>0</v>
      </c>
      <c r="X19" s="682">
        <f t="shared" ref="X19:X30" si="7">L19*$L$17/100/12</f>
        <v>0</v>
      </c>
      <c r="Y19" s="552"/>
      <c r="Z19" s="552"/>
      <c r="AA19" s="150"/>
    </row>
    <row r="20" spans="1:27" x14ac:dyDescent="0.25">
      <c r="A20" s="95" t="s">
        <v>473</v>
      </c>
      <c r="B20" s="159"/>
      <c r="C20" s="565">
        <f t="shared" ref="C20:C30" si="8">C19-B19</f>
        <v>0</v>
      </c>
      <c r="D20" s="159"/>
      <c r="E20" s="565">
        <f t="shared" ref="E20:E30" si="9">E19-D19</f>
        <v>0</v>
      </c>
      <c r="F20" s="159"/>
      <c r="G20" s="565">
        <f t="shared" ref="G20:G30" si="10">G19-F19</f>
        <v>0</v>
      </c>
      <c r="H20" s="548"/>
      <c r="I20" s="565">
        <f>I19-H19+J20</f>
        <v>0</v>
      </c>
      <c r="J20" s="548"/>
      <c r="K20" s="688"/>
      <c r="L20" s="565">
        <f>L19-K19+M20</f>
        <v>0</v>
      </c>
      <c r="M20" s="688"/>
      <c r="N20" s="565">
        <f t="shared" si="5"/>
        <v>0</v>
      </c>
      <c r="O20" s="565">
        <f>O19+P20</f>
        <v>0</v>
      </c>
      <c r="P20" s="688"/>
      <c r="Q20" s="565">
        <f t="shared" ref="Q20:Q30" si="11">O20*$Q$16/100/12*$R$16/100</f>
        <v>0</v>
      </c>
      <c r="R20" s="565"/>
      <c r="S20" s="566"/>
      <c r="T20" s="685">
        <f t="shared" si="6"/>
        <v>0</v>
      </c>
      <c r="U20" s="685">
        <f t="shared" ref="U20:U30" si="12">E20*$E$17/100/12</f>
        <v>0</v>
      </c>
      <c r="V20" s="685">
        <f t="shared" ref="V20:V30" si="13">G20*$G$17/100/12</f>
        <v>0</v>
      </c>
      <c r="W20" s="684">
        <f t="shared" ref="W20:W30" si="14">I20*$I$17/100/12</f>
        <v>0</v>
      </c>
      <c r="X20" s="682">
        <f t="shared" si="7"/>
        <v>0</v>
      </c>
      <c r="Y20" s="552"/>
      <c r="Z20" s="552"/>
      <c r="AA20" s="150"/>
    </row>
    <row r="21" spans="1:27" x14ac:dyDescent="0.25">
      <c r="A21" s="95" t="s">
        <v>474</v>
      </c>
      <c r="B21" s="159"/>
      <c r="C21" s="565">
        <f t="shared" si="8"/>
        <v>0</v>
      </c>
      <c r="D21" s="159"/>
      <c r="E21" s="565">
        <f t="shared" si="9"/>
        <v>0</v>
      </c>
      <c r="F21" s="159"/>
      <c r="G21" s="565">
        <f t="shared" si="10"/>
        <v>0</v>
      </c>
      <c r="H21" s="548"/>
      <c r="I21" s="565">
        <f t="shared" ref="I21:I30" si="15">I20-H20+J21</f>
        <v>0</v>
      </c>
      <c r="J21" s="548"/>
      <c r="K21" s="688"/>
      <c r="L21" s="565">
        <f t="shared" ref="L21:L30" si="16">L20-K20+M21</f>
        <v>0</v>
      </c>
      <c r="M21" s="688"/>
      <c r="N21" s="565">
        <f t="shared" si="5"/>
        <v>0</v>
      </c>
      <c r="O21" s="565">
        <f t="shared" ref="O21:O30" si="17">O20+P21</f>
        <v>0</v>
      </c>
      <c r="P21" s="688"/>
      <c r="Q21" s="565">
        <f t="shared" si="11"/>
        <v>0</v>
      </c>
      <c r="R21" s="565"/>
      <c r="S21" s="566"/>
      <c r="T21" s="685">
        <f t="shared" si="6"/>
        <v>0</v>
      </c>
      <c r="U21" s="685">
        <f t="shared" si="12"/>
        <v>0</v>
      </c>
      <c r="V21" s="685">
        <f t="shared" si="13"/>
        <v>0</v>
      </c>
      <c r="W21" s="684">
        <f t="shared" si="14"/>
        <v>0</v>
      </c>
      <c r="X21" s="682">
        <f t="shared" si="7"/>
        <v>0</v>
      </c>
      <c r="Y21" s="552"/>
      <c r="Z21" s="552"/>
      <c r="AA21" s="150"/>
    </row>
    <row r="22" spans="1:27" x14ac:dyDescent="0.25">
      <c r="A22" s="95" t="s">
        <v>475</v>
      </c>
      <c r="B22" s="159"/>
      <c r="C22" s="565">
        <f t="shared" si="8"/>
        <v>0</v>
      </c>
      <c r="D22" s="159"/>
      <c r="E22" s="565">
        <f t="shared" si="9"/>
        <v>0</v>
      </c>
      <c r="F22" s="159"/>
      <c r="G22" s="565">
        <f t="shared" si="10"/>
        <v>0</v>
      </c>
      <c r="H22" s="548"/>
      <c r="I22" s="565">
        <f t="shared" si="15"/>
        <v>0</v>
      </c>
      <c r="J22" s="548"/>
      <c r="K22" s="688"/>
      <c r="L22" s="565">
        <f t="shared" si="16"/>
        <v>0</v>
      </c>
      <c r="M22" s="688"/>
      <c r="N22" s="565">
        <f t="shared" si="5"/>
        <v>0</v>
      </c>
      <c r="O22" s="565">
        <f t="shared" si="17"/>
        <v>0</v>
      </c>
      <c r="P22" s="688"/>
      <c r="Q22" s="565">
        <f t="shared" si="11"/>
        <v>0</v>
      </c>
      <c r="R22" s="565"/>
      <c r="S22" s="566"/>
      <c r="T22" s="685">
        <f t="shared" si="6"/>
        <v>0</v>
      </c>
      <c r="U22" s="685">
        <f t="shared" si="12"/>
        <v>0</v>
      </c>
      <c r="V22" s="685">
        <f t="shared" si="13"/>
        <v>0</v>
      </c>
      <c r="W22" s="684">
        <f t="shared" si="14"/>
        <v>0</v>
      </c>
      <c r="X22" s="682">
        <f t="shared" si="7"/>
        <v>0</v>
      </c>
      <c r="Y22" s="552"/>
      <c r="Z22" s="552"/>
      <c r="AA22" s="150"/>
    </row>
    <row r="23" spans="1:27" x14ac:dyDescent="0.25">
      <c r="A23" s="95" t="s">
        <v>476</v>
      </c>
      <c r="B23" s="159"/>
      <c r="C23" s="565">
        <f t="shared" si="8"/>
        <v>0</v>
      </c>
      <c r="D23" s="159"/>
      <c r="E23" s="565">
        <f t="shared" si="9"/>
        <v>0</v>
      </c>
      <c r="F23" s="159"/>
      <c r="G23" s="565">
        <f t="shared" si="10"/>
        <v>0</v>
      </c>
      <c r="H23" s="548"/>
      <c r="I23" s="565">
        <f t="shared" si="15"/>
        <v>0</v>
      </c>
      <c r="J23" s="548"/>
      <c r="K23" s="688"/>
      <c r="L23" s="565">
        <f t="shared" si="16"/>
        <v>0</v>
      </c>
      <c r="M23" s="688"/>
      <c r="N23" s="565">
        <f t="shared" si="5"/>
        <v>0</v>
      </c>
      <c r="O23" s="565">
        <f t="shared" si="17"/>
        <v>0</v>
      </c>
      <c r="P23" s="688"/>
      <c r="Q23" s="565">
        <f t="shared" si="11"/>
        <v>0</v>
      </c>
      <c r="R23" s="565"/>
      <c r="S23" s="566"/>
      <c r="T23" s="685">
        <f t="shared" si="6"/>
        <v>0</v>
      </c>
      <c r="U23" s="685">
        <f t="shared" si="12"/>
        <v>0</v>
      </c>
      <c r="V23" s="685">
        <f t="shared" si="13"/>
        <v>0</v>
      </c>
      <c r="W23" s="684">
        <f t="shared" si="14"/>
        <v>0</v>
      </c>
      <c r="X23" s="682">
        <f t="shared" si="7"/>
        <v>0</v>
      </c>
      <c r="Y23" s="552"/>
      <c r="Z23" s="552"/>
      <c r="AA23" s="150"/>
    </row>
    <row r="24" spans="1:27" x14ac:dyDescent="0.25">
      <c r="A24" s="95" t="s">
        <v>477</v>
      </c>
      <c r="B24" s="159"/>
      <c r="C24" s="565">
        <f t="shared" si="8"/>
        <v>0</v>
      </c>
      <c r="D24" s="159"/>
      <c r="E24" s="565">
        <f t="shared" si="9"/>
        <v>0</v>
      </c>
      <c r="F24" s="159"/>
      <c r="G24" s="565">
        <f t="shared" si="10"/>
        <v>0</v>
      </c>
      <c r="H24" s="548"/>
      <c r="I24" s="565">
        <f t="shared" si="15"/>
        <v>0</v>
      </c>
      <c r="J24" s="548"/>
      <c r="K24" s="688"/>
      <c r="L24" s="565">
        <f t="shared" si="16"/>
        <v>0</v>
      </c>
      <c r="M24" s="688"/>
      <c r="N24" s="565">
        <f t="shared" si="5"/>
        <v>0</v>
      </c>
      <c r="O24" s="565">
        <f t="shared" si="17"/>
        <v>0</v>
      </c>
      <c r="P24" s="688"/>
      <c r="Q24" s="565">
        <f t="shared" si="11"/>
        <v>0</v>
      </c>
      <c r="R24" s="565"/>
      <c r="S24" s="566"/>
      <c r="T24" s="685">
        <f t="shared" si="6"/>
        <v>0</v>
      </c>
      <c r="U24" s="685">
        <f t="shared" si="12"/>
        <v>0</v>
      </c>
      <c r="V24" s="685">
        <f t="shared" si="13"/>
        <v>0</v>
      </c>
      <c r="W24" s="684">
        <f t="shared" si="14"/>
        <v>0</v>
      </c>
      <c r="X24" s="682">
        <f t="shared" si="7"/>
        <v>0</v>
      </c>
      <c r="Y24" s="552"/>
      <c r="Z24" s="552"/>
      <c r="AA24" s="150"/>
    </row>
    <row r="25" spans="1:27" x14ac:dyDescent="0.25">
      <c r="A25" s="95" t="s">
        <v>478</v>
      </c>
      <c r="B25" s="159"/>
      <c r="C25" s="565">
        <f t="shared" si="8"/>
        <v>0</v>
      </c>
      <c r="D25" s="159"/>
      <c r="E25" s="565">
        <f t="shared" si="9"/>
        <v>0</v>
      </c>
      <c r="F25" s="159"/>
      <c r="G25" s="565">
        <f t="shared" si="10"/>
        <v>0</v>
      </c>
      <c r="H25" s="548"/>
      <c r="I25" s="565">
        <f t="shared" si="15"/>
        <v>0</v>
      </c>
      <c r="J25" s="548"/>
      <c r="K25" s="688"/>
      <c r="L25" s="565">
        <f t="shared" si="16"/>
        <v>0</v>
      </c>
      <c r="M25" s="688"/>
      <c r="N25" s="565">
        <f t="shared" si="5"/>
        <v>0</v>
      </c>
      <c r="O25" s="565">
        <f t="shared" si="17"/>
        <v>0</v>
      </c>
      <c r="P25" s="688"/>
      <c r="Q25" s="565">
        <f t="shared" si="11"/>
        <v>0</v>
      </c>
      <c r="R25" s="565"/>
      <c r="S25" s="566"/>
      <c r="T25" s="685">
        <f t="shared" si="6"/>
        <v>0</v>
      </c>
      <c r="U25" s="685">
        <f t="shared" si="12"/>
        <v>0</v>
      </c>
      <c r="V25" s="685">
        <f t="shared" si="13"/>
        <v>0</v>
      </c>
      <c r="W25" s="684">
        <f t="shared" si="14"/>
        <v>0</v>
      </c>
      <c r="X25" s="682">
        <f t="shared" si="7"/>
        <v>0</v>
      </c>
      <c r="Y25" s="552"/>
      <c r="Z25" s="552"/>
      <c r="AA25" s="150"/>
    </row>
    <row r="26" spans="1:27" x14ac:dyDescent="0.25">
      <c r="A26" s="95" t="s">
        <v>479</v>
      </c>
      <c r="B26" s="159"/>
      <c r="C26" s="565">
        <f t="shared" si="8"/>
        <v>0</v>
      </c>
      <c r="D26" s="159"/>
      <c r="E26" s="565">
        <f t="shared" si="9"/>
        <v>0</v>
      </c>
      <c r="F26" s="159"/>
      <c r="G26" s="565">
        <f t="shared" si="10"/>
        <v>0</v>
      </c>
      <c r="H26" s="548"/>
      <c r="I26" s="565">
        <f t="shared" si="15"/>
        <v>0</v>
      </c>
      <c r="J26" s="548"/>
      <c r="K26" s="688"/>
      <c r="L26" s="565">
        <f t="shared" si="16"/>
        <v>0</v>
      </c>
      <c r="M26" s="688"/>
      <c r="N26" s="565">
        <f t="shared" si="5"/>
        <v>0</v>
      </c>
      <c r="O26" s="565">
        <f t="shared" si="17"/>
        <v>0</v>
      </c>
      <c r="P26" s="688"/>
      <c r="Q26" s="565">
        <f t="shared" si="11"/>
        <v>0</v>
      </c>
      <c r="R26" s="565"/>
      <c r="S26" s="566"/>
      <c r="T26" s="685">
        <f t="shared" si="6"/>
        <v>0</v>
      </c>
      <c r="U26" s="685">
        <f t="shared" si="12"/>
        <v>0</v>
      </c>
      <c r="V26" s="685">
        <f t="shared" si="13"/>
        <v>0</v>
      </c>
      <c r="W26" s="684">
        <f t="shared" si="14"/>
        <v>0</v>
      </c>
      <c r="X26" s="682">
        <f t="shared" si="7"/>
        <v>0</v>
      </c>
      <c r="Y26" s="552"/>
      <c r="Z26" s="552"/>
      <c r="AA26" s="150"/>
    </row>
    <row r="27" spans="1:27" x14ac:dyDescent="0.25">
      <c r="A27" s="95" t="s">
        <v>480</v>
      </c>
      <c r="B27" s="159"/>
      <c r="C27" s="565">
        <f t="shared" si="8"/>
        <v>0</v>
      </c>
      <c r="D27" s="159"/>
      <c r="E27" s="565">
        <f t="shared" si="9"/>
        <v>0</v>
      </c>
      <c r="F27" s="159"/>
      <c r="G27" s="565">
        <f t="shared" si="10"/>
        <v>0</v>
      </c>
      <c r="H27" s="548"/>
      <c r="I27" s="565">
        <f t="shared" si="15"/>
        <v>0</v>
      </c>
      <c r="J27" s="548"/>
      <c r="K27" s="688"/>
      <c r="L27" s="565">
        <f t="shared" si="16"/>
        <v>0</v>
      </c>
      <c r="M27" s="688"/>
      <c r="N27" s="565">
        <f t="shared" si="5"/>
        <v>0</v>
      </c>
      <c r="O27" s="565">
        <f t="shared" si="17"/>
        <v>0</v>
      </c>
      <c r="P27" s="688"/>
      <c r="Q27" s="565">
        <f t="shared" si="11"/>
        <v>0</v>
      </c>
      <c r="R27" s="565"/>
      <c r="S27" s="566"/>
      <c r="T27" s="685">
        <f t="shared" si="6"/>
        <v>0</v>
      </c>
      <c r="U27" s="685">
        <f t="shared" si="12"/>
        <v>0</v>
      </c>
      <c r="V27" s="685">
        <f t="shared" si="13"/>
        <v>0</v>
      </c>
      <c r="W27" s="684">
        <f t="shared" si="14"/>
        <v>0</v>
      </c>
      <c r="X27" s="682">
        <f t="shared" si="7"/>
        <v>0</v>
      </c>
      <c r="Y27" s="552"/>
      <c r="Z27" s="552"/>
      <c r="AA27" s="150"/>
    </row>
    <row r="28" spans="1:27" x14ac:dyDescent="0.25">
      <c r="A28" s="95" t="s">
        <v>481</v>
      </c>
      <c r="B28" s="159"/>
      <c r="C28" s="565">
        <f t="shared" si="8"/>
        <v>0</v>
      </c>
      <c r="D28" s="159"/>
      <c r="E28" s="565">
        <f t="shared" si="9"/>
        <v>0</v>
      </c>
      <c r="F28" s="159"/>
      <c r="G28" s="565">
        <f t="shared" si="10"/>
        <v>0</v>
      </c>
      <c r="H28" s="548"/>
      <c r="I28" s="565">
        <f t="shared" si="15"/>
        <v>0</v>
      </c>
      <c r="J28" s="548"/>
      <c r="K28" s="688"/>
      <c r="L28" s="565">
        <f t="shared" si="16"/>
        <v>0</v>
      </c>
      <c r="M28" s="688"/>
      <c r="N28" s="565">
        <f t="shared" si="5"/>
        <v>0</v>
      </c>
      <c r="O28" s="565">
        <f t="shared" si="17"/>
        <v>0</v>
      </c>
      <c r="P28" s="688"/>
      <c r="Q28" s="565">
        <f t="shared" si="11"/>
        <v>0</v>
      </c>
      <c r="R28" s="565"/>
      <c r="S28" s="566"/>
      <c r="T28" s="685">
        <f t="shared" si="6"/>
        <v>0</v>
      </c>
      <c r="U28" s="685">
        <f t="shared" si="12"/>
        <v>0</v>
      </c>
      <c r="V28" s="685">
        <f t="shared" si="13"/>
        <v>0</v>
      </c>
      <c r="W28" s="684">
        <f t="shared" si="14"/>
        <v>0</v>
      </c>
      <c r="X28" s="682">
        <f t="shared" si="7"/>
        <v>0</v>
      </c>
      <c r="Y28" s="552"/>
      <c r="Z28" s="552"/>
      <c r="AA28" s="150"/>
    </row>
    <row r="29" spans="1:27" x14ac:dyDescent="0.25">
      <c r="A29" s="95" t="s">
        <v>482</v>
      </c>
      <c r="B29" s="159"/>
      <c r="C29" s="565">
        <f t="shared" si="8"/>
        <v>0</v>
      </c>
      <c r="D29" s="159"/>
      <c r="E29" s="565">
        <f t="shared" si="9"/>
        <v>0</v>
      </c>
      <c r="F29" s="159"/>
      <c r="G29" s="565">
        <f t="shared" si="10"/>
        <v>0</v>
      </c>
      <c r="H29" s="548"/>
      <c r="I29" s="565">
        <f t="shared" si="15"/>
        <v>0</v>
      </c>
      <c r="J29" s="548"/>
      <c r="K29" s="688"/>
      <c r="L29" s="565">
        <f t="shared" si="16"/>
        <v>0</v>
      </c>
      <c r="M29" s="688"/>
      <c r="N29" s="565">
        <f t="shared" si="5"/>
        <v>0</v>
      </c>
      <c r="O29" s="565">
        <f t="shared" si="17"/>
        <v>0</v>
      </c>
      <c r="P29" s="688"/>
      <c r="Q29" s="565">
        <f t="shared" si="11"/>
        <v>0</v>
      </c>
      <c r="R29" s="565"/>
      <c r="S29" s="566"/>
      <c r="T29" s="685">
        <f t="shared" si="6"/>
        <v>0</v>
      </c>
      <c r="U29" s="685">
        <f t="shared" si="12"/>
        <v>0</v>
      </c>
      <c r="V29" s="685">
        <f t="shared" si="13"/>
        <v>0</v>
      </c>
      <c r="W29" s="684">
        <f t="shared" si="14"/>
        <v>0</v>
      </c>
      <c r="X29" s="682">
        <f t="shared" si="7"/>
        <v>0</v>
      </c>
      <c r="Y29" s="552"/>
      <c r="Z29" s="552"/>
      <c r="AA29" s="150"/>
    </row>
    <row r="30" spans="1:27" x14ac:dyDescent="0.25">
      <c r="A30" s="95" t="s">
        <v>483</v>
      </c>
      <c r="B30" s="159"/>
      <c r="C30" s="565">
        <f t="shared" si="8"/>
        <v>0</v>
      </c>
      <c r="D30" s="159"/>
      <c r="E30" s="565">
        <f t="shared" si="9"/>
        <v>0</v>
      </c>
      <c r="F30" s="159"/>
      <c r="G30" s="565">
        <f t="shared" si="10"/>
        <v>0</v>
      </c>
      <c r="H30" s="548"/>
      <c r="I30" s="565">
        <f t="shared" si="15"/>
        <v>0</v>
      </c>
      <c r="J30" s="548"/>
      <c r="K30" s="688"/>
      <c r="L30" s="565">
        <f t="shared" si="16"/>
        <v>0</v>
      </c>
      <c r="M30" s="688"/>
      <c r="N30" s="565">
        <f t="shared" si="5"/>
        <v>0</v>
      </c>
      <c r="O30" s="565">
        <f t="shared" si="17"/>
        <v>0</v>
      </c>
      <c r="P30" s="688"/>
      <c r="Q30" s="565">
        <f t="shared" si="11"/>
        <v>0</v>
      </c>
      <c r="R30" s="565"/>
      <c r="S30" s="566"/>
      <c r="T30" s="685">
        <f t="shared" si="6"/>
        <v>0</v>
      </c>
      <c r="U30" s="685">
        <f t="shared" si="12"/>
        <v>0</v>
      </c>
      <c r="V30" s="685">
        <f t="shared" si="13"/>
        <v>0</v>
      </c>
      <c r="W30" s="684">
        <f t="shared" si="14"/>
        <v>0</v>
      </c>
      <c r="X30" s="682">
        <f t="shared" si="7"/>
        <v>0</v>
      </c>
      <c r="Y30" s="552"/>
      <c r="Z30" s="552"/>
      <c r="AA30" s="150"/>
    </row>
    <row r="31" spans="1:27" x14ac:dyDescent="0.25">
      <c r="A31" s="567" t="s">
        <v>258</v>
      </c>
      <c r="B31" s="566">
        <f>SUM(B19:B30)</f>
        <v>0</v>
      </c>
      <c r="C31" s="566"/>
      <c r="D31" s="566">
        <f>SUM(D19:D30)</f>
        <v>0</v>
      </c>
      <c r="E31" s="566"/>
      <c r="F31" s="566">
        <f>SUM(F19:F30)</f>
        <v>0</v>
      </c>
      <c r="G31" s="566"/>
      <c r="H31" s="566">
        <f>SUM(H19:H30)</f>
        <v>0</v>
      </c>
      <c r="I31" s="566"/>
      <c r="J31" s="566">
        <f>SUM(J19:J30)</f>
        <v>0</v>
      </c>
      <c r="K31" s="566">
        <f>SUM(K19:K30)</f>
        <v>0</v>
      </c>
      <c r="L31" s="566"/>
      <c r="M31" s="566">
        <f>SUM(M19:M30)</f>
        <v>0</v>
      </c>
      <c r="N31" s="566">
        <f>SUM(N19:N30)</f>
        <v>0</v>
      </c>
      <c r="O31" s="565"/>
      <c r="P31" s="566">
        <f>SUM(P19:P30)</f>
        <v>0</v>
      </c>
      <c r="Q31" s="566">
        <f>SUM(Q19:Q30)</f>
        <v>0</v>
      </c>
      <c r="R31" s="566"/>
      <c r="S31" s="566">
        <f>N31+Q31</f>
        <v>0</v>
      </c>
      <c r="T31" s="566">
        <f>SUM(T19:T30)</f>
        <v>0</v>
      </c>
      <c r="U31" s="566">
        <f>SUM(U19:U30)</f>
        <v>0</v>
      </c>
      <c r="V31" s="566">
        <f>SUM(V19:V30)</f>
        <v>0</v>
      </c>
      <c r="W31" s="566">
        <f>SUM(W19:W30)</f>
        <v>0</v>
      </c>
      <c r="X31" s="566">
        <f>SUM(X19:X30)</f>
        <v>0</v>
      </c>
      <c r="Y31" s="552"/>
      <c r="Z31" s="552"/>
      <c r="AA31" s="150"/>
    </row>
    <row r="32" spans="1:27" x14ac:dyDescent="0.25">
      <c r="A32" s="106">
        <f>'Oper.St.'!D11</f>
        <v>2021</v>
      </c>
      <c r="B32" s="1011">
        <f>A32</f>
        <v>2021</v>
      </c>
      <c r="C32" s="1011">
        <f>B32</f>
        <v>2021</v>
      </c>
      <c r="D32" s="1011">
        <f t="shared" ref="D32:X32" si="18">C32</f>
        <v>2021</v>
      </c>
      <c r="E32" s="1011">
        <f t="shared" si="18"/>
        <v>2021</v>
      </c>
      <c r="F32" s="1011">
        <f t="shared" si="18"/>
        <v>2021</v>
      </c>
      <c r="G32" s="1011">
        <f t="shared" si="18"/>
        <v>2021</v>
      </c>
      <c r="H32" s="1011">
        <f t="shared" si="18"/>
        <v>2021</v>
      </c>
      <c r="I32" s="1011">
        <f t="shared" si="18"/>
        <v>2021</v>
      </c>
      <c r="J32" s="1011"/>
      <c r="K32" s="1011">
        <f>I32</f>
        <v>2021</v>
      </c>
      <c r="L32" s="1011">
        <f t="shared" si="18"/>
        <v>2021</v>
      </c>
      <c r="M32" s="1011">
        <f t="shared" si="18"/>
        <v>2021</v>
      </c>
      <c r="N32" s="1011">
        <f t="shared" si="18"/>
        <v>2021</v>
      </c>
      <c r="O32" s="1011">
        <f t="shared" si="18"/>
        <v>2021</v>
      </c>
      <c r="P32" s="1011">
        <f t="shared" si="18"/>
        <v>2021</v>
      </c>
      <c r="Q32" s="1011">
        <f>O32</f>
        <v>2021</v>
      </c>
      <c r="R32" s="1011">
        <f t="shared" si="18"/>
        <v>2021</v>
      </c>
      <c r="S32" s="1011">
        <f t="shared" si="18"/>
        <v>2021</v>
      </c>
      <c r="T32" s="1011">
        <f t="shared" si="18"/>
        <v>2021</v>
      </c>
      <c r="U32" s="1011">
        <f t="shared" si="18"/>
        <v>2021</v>
      </c>
      <c r="V32" s="1011">
        <f t="shared" si="18"/>
        <v>2021</v>
      </c>
      <c r="W32" s="1011">
        <f t="shared" si="18"/>
        <v>2021</v>
      </c>
      <c r="X32" s="1011">
        <f t="shared" si="18"/>
        <v>2021</v>
      </c>
      <c r="Y32" s="552"/>
      <c r="Z32" s="552"/>
      <c r="AA32" s="150"/>
    </row>
    <row r="33" spans="1:27" s="94" customFormat="1" x14ac:dyDescent="0.25">
      <c r="A33" s="95" t="s">
        <v>472</v>
      </c>
      <c r="B33" s="159"/>
      <c r="C33" s="565">
        <f>C30-B30</f>
        <v>0</v>
      </c>
      <c r="D33" s="159"/>
      <c r="E33" s="565">
        <f>E30-D30</f>
        <v>0</v>
      </c>
      <c r="F33" s="159"/>
      <c r="G33" s="565">
        <f>G30-F30</f>
        <v>0</v>
      </c>
      <c r="H33" s="548"/>
      <c r="I33" s="565">
        <f>I30-H30+J33</f>
        <v>0</v>
      </c>
      <c r="J33" s="548"/>
      <c r="K33" s="688"/>
      <c r="L33" s="565">
        <f>L30-K30+M33</f>
        <v>0</v>
      </c>
      <c r="M33" s="688"/>
      <c r="N33" s="565">
        <f t="shared" ref="N33:N44" si="19">T33+U33+V33+W33+X33</f>
        <v>0</v>
      </c>
      <c r="O33" s="565">
        <f>O30+P33</f>
        <v>0</v>
      </c>
      <c r="P33" s="688"/>
      <c r="Q33" s="565">
        <f>O33*$Q$16/100/12*$R$16/100</f>
        <v>0</v>
      </c>
      <c r="R33" s="565"/>
      <c r="S33" s="566"/>
      <c r="T33" s="685">
        <f t="shared" ref="T33:T44" si="20">C33*$C$17/100/12</f>
        <v>0</v>
      </c>
      <c r="U33" s="685">
        <f>E33*$E$17/100/12</f>
        <v>0</v>
      </c>
      <c r="V33" s="685">
        <f>G33*$G$17/100/12</f>
        <v>0</v>
      </c>
      <c r="W33" s="684">
        <f>I33*$I$17/100/12</f>
        <v>0</v>
      </c>
      <c r="X33" s="682">
        <f t="shared" ref="X33:X44" si="21">L33*$L$17/100/12</f>
        <v>0</v>
      </c>
      <c r="Y33" s="552"/>
      <c r="Z33" s="552"/>
      <c r="AA33" s="151"/>
    </row>
    <row r="34" spans="1:27" x14ac:dyDescent="0.25">
      <c r="A34" s="95" t="s">
        <v>473</v>
      </c>
      <c r="B34" s="159"/>
      <c r="C34" s="565">
        <f t="shared" ref="C34:C44" si="22">C33-B33</f>
        <v>0</v>
      </c>
      <c r="D34" s="159"/>
      <c r="E34" s="565">
        <f t="shared" ref="E34:E44" si="23">E33-D33</f>
        <v>0</v>
      </c>
      <c r="F34" s="159"/>
      <c r="G34" s="565">
        <f t="shared" ref="G34:G44" si="24">G33-F33</f>
        <v>0</v>
      </c>
      <c r="H34" s="548"/>
      <c r="I34" s="565">
        <f>I33-H33+J34</f>
        <v>0</v>
      </c>
      <c r="J34" s="548"/>
      <c r="K34" s="688"/>
      <c r="L34" s="565">
        <f>L33-K33+M34</f>
        <v>0</v>
      </c>
      <c r="M34" s="688"/>
      <c r="N34" s="565">
        <f t="shared" si="19"/>
        <v>0</v>
      </c>
      <c r="O34" s="565">
        <f>O33+P34</f>
        <v>0</v>
      </c>
      <c r="P34" s="688"/>
      <c r="Q34" s="565">
        <f t="shared" ref="Q34:Q44" si="25">O34*$Q$16/100/12*$R$16/100</f>
        <v>0</v>
      </c>
      <c r="R34" s="565"/>
      <c r="S34" s="566"/>
      <c r="T34" s="685">
        <f t="shared" si="20"/>
        <v>0</v>
      </c>
      <c r="U34" s="685">
        <f t="shared" ref="U34:U44" si="26">E34*$E$17/100/12</f>
        <v>0</v>
      </c>
      <c r="V34" s="685">
        <f t="shared" ref="V34:V44" si="27">G34*$G$17/100/12</f>
        <v>0</v>
      </c>
      <c r="W34" s="684">
        <f t="shared" ref="W34:W44" si="28">I34*$I$17/100/12</f>
        <v>0</v>
      </c>
      <c r="X34" s="682">
        <f t="shared" si="21"/>
        <v>0</v>
      </c>
      <c r="Y34" s="552"/>
      <c r="Z34" s="552"/>
      <c r="AA34" s="150"/>
    </row>
    <row r="35" spans="1:27" x14ac:dyDescent="0.25">
      <c r="A35" s="95" t="s">
        <v>474</v>
      </c>
      <c r="B35" s="159"/>
      <c r="C35" s="565">
        <f t="shared" si="22"/>
        <v>0</v>
      </c>
      <c r="D35" s="159"/>
      <c r="E35" s="565">
        <f t="shared" si="23"/>
        <v>0</v>
      </c>
      <c r="F35" s="159"/>
      <c r="G35" s="565">
        <f t="shared" si="24"/>
        <v>0</v>
      </c>
      <c r="H35" s="548"/>
      <c r="I35" s="565">
        <f t="shared" ref="I35:I44" si="29">I34-H34+J35</f>
        <v>0</v>
      </c>
      <c r="J35" s="548"/>
      <c r="K35" s="688"/>
      <c r="L35" s="565">
        <f t="shared" ref="L35:L44" si="30">L34-K34+M35</f>
        <v>0</v>
      </c>
      <c r="M35" s="688"/>
      <c r="N35" s="565">
        <f t="shared" si="19"/>
        <v>0</v>
      </c>
      <c r="O35" s="565">
        <f t="shared" ref="O35:O44" si="31">O34+P35</f>
        <v>0</v>
      </c>
      <c r="P35" s="688"/>
      <c r="Q35" s="565">
        <f t="shared" si="25"/>
        <v>0</v>
      </c>
      <c r="R35" s="565"/>
      <c r="S35" s="566"/>
      <c r="T35" s="685">
        <f t="shared" si="20"/>
        <v>0</v>
      </c>
      <c r="U35" s="685">
        <f t="shared" si="26"/>
        <v>0</v>
      </c>
      <c r="V35" s="685">
        <f t="shared" si="27"/>
        <v>0</v>
      </c>
      <c r="W35" s="684">
        <f t="shared" si="28"/>
        <v>0</v>
      </c>
      <c r="X35" s="682">
        <f t="shared" si="21"/>
        <v>0</v>
      </c>
      <c r="Y35" s="552"/>
      <c r="Z35" s="552"/>
      <c r="AA35" s="150"/>
    </row>
    <row r="36" spans="1:27" x14ac:dyDescent="0.25">
      <c r="A36" s="95" t="s">
        <v>475</v>
      </c>
      <c r="B36" s="159"/>
      <c r="C36" s="565">
        <f t="shared" si="22"/>
        <v>0</v>
      </c>
      <c r="D36" s="159"/>
      <c r="E36" s="565">
        <f t="shared" si="23"/>
        <v>0</v>
      </c>
      <c r="F36" s="159"/>
      <c r="G36" s="565">
        <f t="shared" si="24"/>
        <v>0</v>
      </c>
      <c r="H36" s="548"/>
      <c r="I36" s="565">
        <f t="shared" si="29"/>
        <v>0</v>
      </c>
      <c r="J36" s="548"/>
      <c r="K36" s="688"/>
      <c r="L36" s="565">
        <f t="shared" si="30"/>
        <v>0</v>
      </c>
      <c r="M36" s="688"/>
      <c r="N36" s="565">
        <f t="shared" si="19"/>
        <v>0</v>
      </c>
      <c r="O36" s="565">
        <f t="shared" si="31"/>
        <v>0</v>
      </c>
      <c r="P36" s="688"/>
      <c r="Q36" s="565">
        <f t="shared" si="25"/>
        <v>0</v>
      </c>
      <c r="R36" s="565"/>
      <c r="S36" s="566"/>
      <c r="T36" s="685">
        <f t="shared" si="20"/>
        <v>0</v>
      </c>
      <c r="U36" s="685">
        <f t="shared" si="26"/>
        <v>0</v>
      </c>
      <c r="V36" s="685">
        <f t="shared" si="27"/>
        <v>0</v>
      </c>
      <c r="W36" s="684">
        <f t="shared" si="28"/>
        <v>0</v>
      </c>
      <c r="X36" s="682">
        <f t="shared" si="21"/>
        <v>0</v>
      </c>
      <c r="Y36" s="552"/>
      <c r="Z36" s="552"/>
      <c r="AA36" s="150"/>
    </row>
    <row r="37" spans="1:27" x14ac:dyDescent="0.25">
      <c r="A37" s="95" t="s">
        <v>476</v>
      </c>
      <c r="B37" s="159"/>
      <c r="C37" s="565">
        <f t="shared" si="22"/>
        <v>0</v>
      </c>
      <c r="D37" s="159"/>
      <c r="E37" s="565">
        <f t="shared" si="23"/>
        <v>0</v>
      </c>
      <c r="F37" s="159"/>
      <c r="G37" s="565">
        <f t="shared" si="24"/>
        <v>0</v>
      </c>
      <c r="H37" s="548"/>
      <c r="I37" s="565">
        <f t="shared" si="29"/>
        <v>0</v>
      </c>
      <c r="J37" s="548"/>
      <c r="K37" s="688"/>
      <c r="L37" s="565">
        <f t="shared" si="30"/>
        <v>0</v>
      </c>
      <c r="M37" s="688"/>
      <c r="N37" s="565">
        <f t="shared" si="19"/>
        <v>0</v>
      </c>
      <c r="O37" s="565">
        <f t="shared" si="31"/>
        <v>0</v>
      </c>
      <c r="P37" s="688"/>
      <c r="Q37" s="565">
        <f t="shared" si="25"/>
        <v>0</v>
      </c>
      <c r="R37" s="565"/>
      <c r="S37" s="566"/>
      <c r="T37" s="685">
        <f t="shared" si="20"/>
        <v>0</v>
      </c>
      <c r="U37" s="685">
        <f t="shared" si="26"/>
        <v>0</v>
      </c>
      <c r="V37" s="685">
        <f t="shared" si="27"/>
        <v>0</v>
      </c>
      <c r="W37" s="684">
        <f t="shared" si="28"/>
        <v>0</v>
      </c>
      <c r="X37" s="682">
        <f t="shared" si="21"/>
        <v>0</v>
      </c>
      <c r="Y37" s="552"/>
      <c r="Z37" s="552"/>
      <c r="AA37" s="150"/>
    </row>
    <row r="38" spans="1:27" x14ac:dyDescent="0.25">
      <c r="A38" s="95" t="s">
        <v>477</v>
      </c>
      <c r="B38" s="159"/>
      <c r="C38" s="565">
        <f t="shared" si="22"/>
        <v>0</v>
      </c>
      <c r="D38" s="159"/>
      <c r="E38" s="565">
        <f t="shared" si="23"/>
        <v>0</v>
      </c>
      <c r="F38" s="159"/>
      <c r="G38" s="565">
        <f t="shared" si="24"/>
        <v>0</v>
      </c>
      <c r="H38" s="548"/>
      <c r="I38" s="565">
        <f t="shared" si="29"/>
        <v>0</v>
      </c>
      <c r="J38" s="548"/>
      <c r="K38" s="688"/>
      <c r="L38" s="565">
        <f t="shared" si="30"/>
        <v>0</v>
      </c>
      <c r="M38" s="688"/>
      <c r="N38" s="565">
        <f t="shared" si="19"/>
        <v>0</v>
      </c>
      <c r="O38" s="565">
        <f t="shared" si="31"/>
        <v>0</v>
      </c>
      <c r="P38" s="688"/>
      <c r="Q38" s="565">
        <f t="shared" si="25"/>
        <v>0</v>
      </c>
      <c r="R38" s="565"/>
      <c r="S38" s="566"/>
      <c r="T38" s="685">
        <f t="shared" si="20"/>
        <v>0</v>
      </c>
      <c r="U38" s="685">
        <f t="shared" si="26"/>
        <v>0</v>
      </c>
      <c r="V38" s="685">
        <f t="shared" si="27"/>
        <v>0</v>
      </c>
      <c r="W38" s="684">
        <f t="shared" si="28"/>
        <v>0</v>
      </c>
      <c r="X38" s="682">
        <f t="shared" si="21"/>
        <v>0</v>
      </c>
      <c r="Y38" s="552"/>
      <c r="Z38" s="552"/>
      <c r="AA38" s="150"/>
    </row>
    <row r="39" spans="1:27" x14ac:dyDescent="0.25">
      <c r="A39" s="95" t="s">
        <v>478</v>
      </c>
      <c r="B39" s="159"/>
      <c r="C39" s="565">
        <f t="shared" si="22"/>
        <v>0</v>
      </c>
      <c r="D39" s="159"/>
      <c r="E39" s="565">
        <f t="shared" si="23"/>
        <v>0</v>
      </c>
      <c r="F39" s="159"/>
      <c r="G39" s="565">
        <f t="shared" si="24"/>
        <v>0</v>
      </c>
      <c r="H39" s="548"/>
      <c r="I39" s="565">
        <f t="shared" si="29"/>
        <v>0</v>
      </c>
      <c r="J39" s="548"/>
      <c r="K39" s="688"/>
      <c r="L39" s="565">
        <f t="shared" si="30"/>
        <v>0</v>
      </c>
      <c r="M39" s="688"/>
      <c r="N39" s="565">
        <f t="shared" si="19"/>
        <v>0</v>
      </c>
      <c r="O39" s="565">
        <f t="shared" si="31"/>
        <v>0</v>
      </c>
      <c r="P39" s="688"/>
      <c r="Q39" s="565">
        <f t="shared" si="25"/>
        <v>0</v>
      </c>
      <c r="R39" s="565"/>
      <c r="S39" s="566"/>
      <c r="T39" s="685">
        <f t="shared" si="20"/>
        <v>0</v>
      </c>
      <c r="U39" s="685">
        <f t="shared" si="26"/>
        <v>0</v>
      </c>
      <c r="V39" s="685">
        <f t="shared" si="27"/>
        <v>0</v>
      </c>
      <c r="W39" s="684">
        <f t="shared" si="28"/>
        <v>0</v>
      </c>
      <c r="X39" s="682">
        <f t="shared" si="21"/>
        <v>0</v>
      </c>
      <c r="Y39" s="552"/>
      <c r="Z39" s="552"/>
      <c r="AA39" s="150"/>
    </row>
    <row r="40" spans="1:27" x14ac:dyDescent="0.25">
      <c r="A40" s="95" t="s">
        <v>479</v>
      </c>
      <c r="B40" s="159"/>
      <c r="C40" s="565">
        <f t="shared" si="22"/>
        <v>0</v>
      </c>
      <c r="D40" s="159"/>
      <c r="E40" s="565">
        <f t="shared" si="23"/>
        <v>0</v>
      </c>
      <c r="F40" s="159"/>
      <c r="G40" s="565">
        <f t="shared" si="24"/>
        <v>0</v>
      </c>
      <c r="H40" s="548"/>
      <c r="I40" s="565">
        <f t="shared" si="29"/>
        <v>0</v>
      </c>
      <c r="J40" s="548"/>
      <c r="K40" s="688"/>
      <c r="L40" s="565">
        <f t="shared" si="30"/>
        <v>0</v>
      </c>
      <c r="M40" s="688"/>
      <c r="N40" s="565">
        <f t="shared" si="19"/>
        <v>0</v>
      </c>
      <c r="O40" s="565">
        <f t="shared" si="31"/>
        <v>0</v>
      </c>
      <c r="P40" s="688"/>
      <c r="Q40" s="565">
        <f t="shared" si="25"/>
        <v>0</v>
      </c>
      <c r="R40" s="565"/>
      <c r="S40" s="566"/>
      <c r="T40" s="685">
        <f t="shared" si="20"/>
        <v>0</v>
      </c>
      <c r="U40" s="685">
        <f t="shared" si="26"/>
        <v>0</v>
      </c>
      <c r="V40" s="685">
        <f t="shared" si="27"/>
        <v>0</v>
      </c>
      <c r="W40" s="684">
        <f t="shared" si="28"/>
        <v>0</v>
      </c>
      <c r="X40" s="682">
        <f t="shared" si="21"/>
        <v>0</v>
      </c>
      <c r="Y40" s="552"/>
      <c r="Z40" s="552"/>
      <c r="AA40" s="150"/>
    </row>
    <row r="41" spans="1:27" x14ac:dyDescent="0.25">
      <c r="A41" s="95" t="s">
        <v>480</v>
      </c>
      <c r="B41" s="159"/>
      <c r="C41" s="565">
        <f t="shared" si="22"/>
        <v>0</v>
      </c>
      <c r="D41" s="159"/>
      <c r="E41" s="565">
        <f t="shared" si="23"/>
        <v>0</v>
      </c>
      <c r="F41" s="159"/>
      <c r="G41" s="565">
        <f t="shared" si="24"/>
        <v>0</v>
      </c>
      <c r="H41" s="548"/>
      <c r="I41" s="565">
        <f t="shared" si="29"/>
        <v>0</v>
      </c>
      <c r="J41" s="548"/>
      <c r="K41" s="688"/>
      <c r="L41" s="565">
        <f t="shared" si="30"/>
        <v>0</v>
      </c>
      <c r="M41" s="688"/>
      <c r="N41" s="565">
        <f t="shared" si="19"/>
        <v>0</v>
      </c>
      <c r="O41" s="565">
        <f t="shared" si="31"/>
        <v>0</v>
      </c>
      <c r="P41" s="688"/>
      <c r="Q41" s="565">
        <f t="shared" si="25"/>
        <v>0</v>
      </c>
      <c r="R41" s="565"/>
      <c r="S41" s="566"/>
      <c r="T41" s="685">
        <f t="shared" si="20"/>
        <v>0</v>
      </c>
      <c r="U41" s="685">
        <f t="shared" si="26"/>
        <v>0</v>
      </c>
      <c r="V41" s="685">
        <f t="shared" si="27"/>
        <v>0</v>
      </c>
      <c r="W41" s="684">
        <f t="shared" si="28"/>
        <v>0</v>
      </c>
      <c r="X41" s="682">
        <f t="shared" si="21"/>
        <v>0</v>
      </c>
      <c r="Y41" s="552"/>
      <c r="Z41" s="552"/>
      <c r="AA41" s="150"/>
    </row>
    <row r="42" spans="1:27" x14ac:dyDescent="0.25">
      <c r="A42" s="95" t="s">
        <v>481</v>
      </c>
      <c r="B42" s="159"/>
      <c r="C42" s="565">
        <f t="shared" si="22"/>
        <v>0</v>
      </c>
      <c r="D42" s="159"/>
      <c r="E42" s="565">
        <f t="shared" si="23"/>
        <v>0</v>
      </c>
      <c r="F42" s="159"/>
      <c r="G42" s="565">
        <f t="shared" si="24"/>
        <v>0</v>
      </c>
      <c r="H42" s="548"/>
      <c r="I42" s="565">
        <f t="shared" si="29"/>
        <v>0</v>
      </c>
      <c r="J42" s="548"/>
      <c r="K42" s="688"/>
      <c r="L42" s="565">
        <f t="shared" si="30"/>
        <v>0</v>
      </c>
      <c r="M42" s="688"/>
      <c r="N42" s="565">
        <f t="shared" si="19"/>
        <v>0</v>
      </c>
      <c r="O42" s="565">
        <f t="shared" si="31"/>
        <v>0</v>
      </c>
      <c r="P42" s="688"/>
      <c r="Q42" s="565">
        <f t="shared" si="25"/>
        <v>0</v>
      </c>
      <c r="R42" s="565"/>
      <c r="S42" s="566"/>
      <c r="T42" s="685">
        <f t="shared" si="20"/>
        <v>0</v>
      </c>
      <c r="U42" s="685">
        <f t="shared" si="26"/>
        <v>0</v>
      </c>
      <c r="V42" s="685">
        <f t="shared" si="27"/>
        <v>0</v>
      </c>
      <c r="W42" s="684">
        <f t="shared" si="28"/>
        <v>0</v>
      </c>
      <c r="X42" s="682">
        <f t="shared" si="21"/>
        <v>0</v>
      </c>
      <c r="Y42" s="552"/>
      <c r="Z42" s="552"/>
      <c r="AA42" s="150"/>
    </row>
    <row r="43" spans="1:27" x14ac:dyDescent="0.25">
      <c r="A43" s="95" t="s">
        <v>482</v>
      </c>
      <c r="B43" s="159"/>
      <c r="C43" s="565">
        <f t="shared" si="22"/>
        <v>0</v>
      </c>
      <c r="D43" s="159"/>
      <c r="E43" s="565">
        <f t="shared" si="23"/>
        <v>0</v>
      </c>
      <c r="F43" s="159"/>
      <c r="G43" s="565">
        <f t="shared" si="24"/>
        <v>0</v>
      </c>
      <c r="H43" s="548"/>
      <c r="I43" s="565">
        <f t="shared" si="29"/>
        <v>0</v>
      </c>
      <c r="J43" s="548"/>
      <c r="K43" s="688"/>
      <c r="L43" s="565">
        <f t="shared" si="30"/>
        <v>0</v>
      </c>
      <c r="M43" s="688"/>
      <c r="N43" s="565">
        <f t="shared" si="19"/>
        <v>0</v>
      </c>
      <c r="O43" s="565">
        <f t="shared" si="31"/>
        <v>0</v>
      </c>
      <c r="P43" s="688"/>
      <c r="Q43" s="565">
        <f t="shared" si="25"/>
        <v>0</v>
      </c>
      <c r="R43" s="565"/>
      <c r="S43" s="566"/>
      <c r="T43" s="685">
        <f t="shared" si="20"/>
        <v>0</v>
      </c>
      <c r="U43" s="685">
        <f t="shared" si="26"/>
        <v>0</v>
      </c>
      <c r="V43" s="685">
        <f t="shared" si="27"/>
        <v>0</v>
      </c>
      <c r="W43" s="684">
        <f t="shared" si="28"/>
        <v>0</v>
      </c>
      <c r="X43" s="682">
        <f t="shared" si="21"/>
        <v>0</v>
      </c>
      <c r="Y43" s="552"/>
      <c r="Z43" s="552"/>
      <c r="AA43" s="150"/>
    </row>
    <row r="44" spans="1:27" x14ac:dyDescent="0.25">
      <c r="A44" s="95" t="s">
        <v>483</v>
      </c>
      <c r="B44" s="159"/>
      <c r="C44" s="565">
        <f t="shared" si="22"/>
        <v>0</v>
      </c>
      <c r="D44" s="159"/>
      <c r="E44" s="565">
        <f t="shared" si="23"/>
        <v>0</v>
      </c>
      <c r="F44" s="159"/>
      <c r="G44" s="565">
        <f t="shared" si="24"/>
        <v>0</v>
      </c>
      <c r="H44" s="548"/>
      <c r="I44" s="565">
        <f t="shared" si="29"/>
        <v>0</v>
      </c>
      <c r="J44" s="548"/>
      <c r="K44" s="688"/>
      <c r="L44" s="565">
        <f t="shared" si="30"/>
        <v>0</v>
      </c>
      <c r="M44" s="688"/>
      <c r="N44" s="565">
        <f t="shared" si="19"/>
        <v>0</v>
      </c>
      <c r="O44" s="565">
        <f t="shared" si="31"/>
        <v>0</v>
      </c>
      <c r="P44" s="688"/>
      <c r="Q44" s="565">
        <f t="shared" si="25"/>
        <v>0</v>
      </c>
      <c r="R44" s="565"/>
      <c r="S44" s="566"/>
      <c r="T44" s="685">
        <f t="shared" si="20"/>
        <v>0</v>
      </c>
      <c r="U44" s="685">
        <f t="shared" si="26"/>
        <v>0</v>
      </c>
      <c r="V44" s="685">
        <f t="shared" si="27"/>
        <v>0</v>
      </c>
      <c r="W44" s="684">
        <f t="shared" si="28"/>
        <v>0</v>
      </c>
      <c r="X44" s="682">
        <f t="shared" si="21"/>
        <v>0</v>
      </c>
      <c r="Y44" s="552"/>
      <c r="Z44" s="552"/>
      <c r="AA44" s="150"/>
    </row>
    <row r="45" spans="1:27" x14ac:dyDescent="0.25">
      <c r="A45" s="567" t="s">
        <v>258</v>
      </c>
      <c r="B45" s="566">
        <f>SUM(B33:B44)</f>
        <v>0</v>
      </c>
      <c r="C45" s="565"/>
      <c r="D45" s="566">
        <f>SUM(D33:D44)</f>
        <v>0</v>
      </c>
      <c r="E45" s="565"/>
      <c r="F45" s="566">
        <f>SUM(F33:F44)</f>
        <v>0</v>
      </c>
      <c r="G45" s="565"/>
      <c r="H45" s="566">
        <f>SUM(H33:H44)</f>
        <v>0</v>
      </c>
      <c r="I45" s="565"/>
      <c r="J45" s="566">
        <f>SUM(J33:J44)</f>
        <v>0</v>
      </c>
      <c r="K45" s="566">
        <f>SUM(K33:K44)</f>
        <v>0</v>
      </c>
      <c r="L45" s="565"/>
      <c r="M45" s="566">
        <f>SUM(M33:M44)</f>
        <v>0</v>
      </c>
      <c r="N45" s="566">
        <f>SUM(N33:N44)</f>
        <v>0</v>
      </c>
      <c r="O45" s="565"/>
      <c r="P45" s="566">
        <f>SUM(P33:P44)</f>
        <v>0</v>
      </c>
      <c r="Q45" s="566">
        <f>SUM(Q33:Q44)</f>
        <v>0</v>
      </c>
      <c r="R45" s="566"/>
      <c r="S45" s="566">
        <f>N45+Q45</f>
        <v>0</v>
      </c>
      <c r="T45" s="566">
        <f>SUM(T33:T44)</f>
        <v>0</v>
      </c>
      <c r="U45" s="566">
        <f>SUM(U33:U44)</f>
        <v>0</v>
      </c>
      <c r="V45" s="566">
        <f>SUM(V33:V44)</f>
        <v>0</v>
      </c>
      <c r="W45" s="566">
        <f>SUM(W33:W44)</f>
        <v>0</v>
      </c>
      <c r="X45" s="566">
        <f>SUM(X33:X44)</f>
        <v>0</v>
      </c>
      <c r="Y45" s="552"/>
      <c r="Z45" s="552"/>
      <c r="AA45" s="150"/>
    </row>
    <row r="46" spans="1:27" x14ac:dyDescent="0.25">
      <c r="A46" s="106">
        <f>'Oper.St.'!E11</f>
        <v>2022</v>
      </c>
      <c r="B46" s="1011">
        <f>A46</f>
        <v>2022</v>
      </c>
      <c r="C46" s="1011">
        <f>B46</f>
        <v>2022</v>
      </c>
      <c r="D46" s="1011">
        <f t="shared" ref="D46:X46" si="32">C46</f>
        <v>2022</v>
      </c>
      <c r="E46" s="1011">
        <f t="shared" si="32"/>
        <v>2022</v>
      </c>
      <c r="F46" s="1011">
        <f t="shared" si="32"/>
        <v>2022</v>
      </c>
      <c r="G46" s="1011">
        <f t="shared" si="32"/>
        <v>2022</v>
      </c>
      <c r="H46" s="1011">
        <f t="shared" si="32"/>
        <v>2022</v>
      </c>
      <c r="I46" s="1011">
        <f t="shared" si="32"/>
        <v>2022</v>
      </c>
      <c r="J46" s="1011"/>
      <c r="K46" s="1011">
        <f>I46</f>
        <v>2022</v>
      </c>
      <c r="L46" s="1011">
        <f t="shared" si="32"/>
        <v>2022</v>
      </c>
      <c r="M46" s="1011">
        <f t="shared" si="32"/>
        <v>2022</v>
      </c>
      <c r="N46" s="1011">
        <f t="shared" si="32"/>
        <v>2022</v>
      </c>
      <c r="O46" s="1011">
        <f t="shared" si="32"/>
        <v>2022</v>
      </c>
      <c r="P46" s="1011">
        <f t="shared" si="32"/>
        <v>2022</v>
      </c>
      <c r="Q46" s="1011">
        <f>O46</f>
        <v>2022</v>
      </c>
      <c r="R46" s="1011">
        <f t="shared" si="32"/>
        <v>2022</v>
      </c>
      <c r="S46" s="1011">
        <f t="shared" si="32"/>
        <v>2022</v>
      </c>
      <c r="T46" s="1011">
        <f t="shared" si="32"/>
        <v>2022</v>
      </c>
      <c r="U46" s="1011">
        <f t="shared" si="32"/>
        <v>2022</v>
      </c>
      <c r="V46" s="1011">
        <f t="shared" si="32"/>
        <v>2022</v>
      </c>
      <c r="W46" s="1011">
        <f t="shared" si="32"/>
        <v>2022</v>
      </c>
      <c r="X46" s="1011">
        <f t="shared" si="32"/>
        <v>2022</v>
      </c>
      <c r="Y46" s="552"/>
      <c r="Z46" s="552"/>
      <c r="AA46" s="150"/>
    </row>
    <row r="47" spans="1:27" x14ac:dyDescent="0.25">
      <c r="A47" s="95" t="s">
        <v>472</v>
      </c>
      <c r="B47" s="159"/>
      <c r="C47" s="565">
        <f>C44-B44</f>
        <v>0</v>
      </c>
      <c r="D47" s="159"/>
      <c r="E47" s="565">
        <f>E44-D44</f>
        <v>0</v>
      </c>
      <c r="F47" s="159"/>
      <c r="G47" s="565">
        <f>G44-F44</f>
        <v>0</v>
      </c>
      <c r="H47" s="548"/>
      <c r="I47" s="565">
        <f>I44-H44+J47</f>
        <v>0</v>
      </c>
      <c r="J47" s="548"/>
      <c r="K47" s="688"/>
      <c r="L47" s="565">
        <f>L44-K44+M47</f>
        <v>0</v>
      </c>
      <c r="M47" s="688"/>
      <c r="N47" s="565">
        <f t="shared" ref="N47:N58" si="33">T47+U47+V47+W47+X47</f>
        <v>0</v>
      </c>
      <c r="O47" s="565">
        <f>O44+P47</f>
        <v>0</v>
      </c>
      <c r="P47" s="688"/>
      <c r="Q47" s="565">
        <f>O47*$Q$16/100/12*$R$16/100</f>
        <v>0</v>
      </c>
      <c r="R47" s="565"/>
      <c r="S47" s="566"/>
      <c r="T47" s="685">
        <f t="shared" ref="T47:T58" si="34">C47*$C$17/100/12</f>
        <v>0</v>
      </c>
      <c r="U47" s="685">
        <f>E47*$E$17/100/12</f>
        <v>0</v>
      </c>
      <c r="V47" s="685">
        <f>G47*$G$17/100/12</f>
        <v>0</v>
      </c>
      <c r="W47" s="684">
        <f>I47*$I$17/100/12</f>
        <v>0</v>
      </c>
      <c r="X47" s="682">
        <f t="shared" ref="X47:X58" si="35">L47*$L$17/100/12</f>
        <v>0</v>
      </c>
      <c r="Y47" s="552"/>
      <c r="Z47" s="552"/>
      <c r="AA47" s="150"/>
    </row>
    <row r="48" spans="1:27" s="94" customFormat="1" x14ac:dyDescent="0.25">
      <c r="A48" s="95" t="s">
        <v>473</v>
      </c>
      <c r="B48" s="159"/>
      <c r="C48" s="565">
        <f t="shared" ref="C48:C58" si="36">C47-B47</f>
        <v>0</v>
      </c>
      <c r="D48" s="159"/>
      <c r="E48" s="565">
        <f t="shared" ref="E48:E58" si="37">E47-D47</f>
        <v>0</v>
      </c>
      <c r="F48" s="159"/>
      <c r="G48" s="565">
        <f t="shared" ref="G48:G58" si="38">G47-F47</f>
        <v>0</v>
      </c>
      <c r="H48" s="548"/>
      <c r="I48" s="565">
        <f>I47-H47+J48</f>
        <v>0</v>
      </c>
      <c r="J48" s="548"/>
      <c r="K48" s="688"/>
      <c r="L48" s="565">
        <f>L47-K47+M48</f>
        <v>0</v>
      </c>
      <c r="M48" s="688"/>
      <c r="N48" s="565">
        <f t="shared" si="33"/>
        <v>0</v>
      </c>
      <c r="O48" s="565">
        <f>O47+P48</f>
        <v>0</v>
      </c>
      <c r="P48" s="688"/>
      <c r="Q48" s="565">
        <f t="shared" ref="Q48:Q58" si="39">O48*$Q$16/100/12*$R$16/100</f>
        <v>0</v>
      </c>
      <c r="R48" s="565"/>
      <c r="S48" s="566"/>
      <c r="T48" s="685">
        <f t="shared" si="34"/>
        <v>0</v>
      </c>
      <c r="U48" s="685">
        <f t="shared" ref="U48:U58" si="40">E48*$E$17/100/12</f>
        <v>0</v>
      </c>
      <c r="V48" s="685">
        <f t="shared" ref="V48:V58" si="41">G48*$G$17/100/12</f>
        <v>0</v>
      </c>
      <c r="W48" s="684">
        <f t="shared" ref="W48:W58" si="42">I48*$I$17/100/12</f>
        <v>0</v>
      </c>
      <c r="X48" s="682">
        <f t="shared" si="35"/>
        <v>0</v>
      </c>
      <c r="Y48" s="552"/>
      <c r="Z48" s="552"/>
      <c r="AA48" s="151"/>
    </row>
    <row r="49" spans="1:27" x14ac:dyDescent="0.25">
      <c r="A49" s="95" t="s">
        <v>474</v>
      </c>
      <c r="B49" s="159"/>
      <c r="C49" s="565">
        <f t="shared" si="36"/>
        <v>0</v>
      </c>
      <c r="D49" s="159"/>
      <c r="E49" s="565">
        <f t="shared" si="37"/>
        <v>0</v>
      </c>
      <c r="F49" s="159"/>
      <c r="G49" s="565">
        <f t="shared" si="38"/>
        <v>0</v>
      </c>
      <c r="H49" s="548"/>
      <c r="I49" s="565">
        <f t="shared" ref="I49:I58" si="43">I48-H48+J49</f>
        <v>0</v>
      </c>
      <c r="J49" s="548"/>
      <c r="K49" s="688"/>
      <c r="L49" s="565">
        <f t="shared" ref="L49:L58" si="44">L48-K48+M49</f>
        <v>0</v>
      </c>
      <c r="M49" s="688"/>
      <c r="N49" s="565">
        <f t="shared" si="33"/>
        <v>0</v>
      </c>
      <c r="O49" s="565">
        <f t="shared" ref="O49:O58" si="45">O48+P49</f>
        <v>0</v>
      </c>
      <c r="P49" s="688"/>
      <c r="Q49" s="565">
        <f t="shared" si="39"/>
        <v>0</v>
      </c>
      <c r="R49" s="565"/>
      <c r="S49" s="566"/>
      <c r="T49" s="685">
        <f t="shared" si="34"/>
        <v>0</v>
      </c>
      <c r="U49" s="685">
        <f t="shared" si="40"/>
        <v>0</v>
      </c>
      <c r="V49" s="685">
        <f t="shared" si="41"/>
        <v>0</v>
      </c>
      <c r="W49" s="684">
        <f t="shared" si="42"/>
        <v>0</v>
      </c>
      <c r="X49" s="682">
        <f t="shared" si="35"/>
        <v>0</v>
      </c>
      <c r="Y49" s="552"/>
      <c r="Z49" s="552"/>
      <c r="AA49" s="150"/>
    </row>
    <row r="50" spans="1:27" x14ac:dyDescent="0.25">
      <c r="A50" s="95" t="s">
        <v>475</v>
      </c>
      <c r="B50" s="159"/>
      <c r="C50" s="565">
        <f t="shared" si="36"/>
        <v>0</v>
      </c>
      <c r="D50" s="159"/>
      <c r="E50" s="565">
        <f t="shared" si="37"/>
        <v>0</v>
      </c>
      <c r="F50" s="159"/>
      <c r="G50" s="565">
        <f t="shared" si="38"/>
        <v>0</v>
      </c>
      <c r="H50" s="548"/>
      <c r="I50" s="565">
        <f t="shared" si="43"/>
        <v>0</v>
      </c>
      <c r="J50" s="548"/>
      <c r="K50" s="688"/>
      <c r="L50" s="565">
        <f t="shared" si="44"/>
        <v>0</v>
      </c>
      <c r="M50" s="688"/>
      <c r="N50" s="565">
        <f t="shared" si="33"/>
        <v>0</v>
      </c>
      <c r="O50" s="565">
        <f t="shared" si="45"/>
        <v>0</v>
      </c>
      <c r="P50" s="688"/>
      <c r="Q50" s="565">
        <f t="shared" si="39"/>
        <v>0</v>
      </c>
      <c r="R50" s="565"/>
      <c r="S50" s="566"/>
      <c r="T50" s="685">
        <f t="shared" si="34"/>
        <v>0</v>
      </c>
      <c r="U50" s="685">
        <f t="shared" si="40"/>
        <v>0</v>
      </c>
      <c r="V50" s="685">
        <f t="shared" si="41"/>
        <v>0</v>
      </c>
      <c r="W50" s="684">
        <f t="shared" si="42"/>
        <v>0</v>
      </c>
      <c r="X50" s="682">
        <f t="shared" si="35"/>
        <v>0</v>
      </c>
      <c r="Y50" s="552"/>
      <c r="Z50" s="552"/>
      <c r="AA50" s="150"/>
    </row>
    <row r="51" spans="1:27" x14ac:dyDescent="0.25">
      <c r="A51" s="95" t="s">
        <v>476</v>
      </c>
      <c r="B51" s="159"/>
      <c r="C51" s="565">
        <f t="shared" si="36"/>
        <v>0</v>
      </c>
      <c r="D51" s="159"/>
      <c r="E51" s="565">
        <f t="shared" si="37"/>
        <v>0</v>
      </c>
      <c r="F51" s="159"/>
      <c r="G51" s="565">
        <f t="shared" si="38"/>
        <v>0</v>
      </c>
      <c r="H51" s="548"/>
      <c r="I51" s="565">
        <f t="shared" si="43"/>
        <v>0</v>
      </c>
      <c r="J51" s="548"/>
      <c r="K51" s="688"/>
      <c r="L51" s="565">
        <f t="shared" si="44"/>
        <v>0</v>
      </c>
      <c r="M51" s="688"/>
      <c r="N51" s="565">
        <f t="shared" si="33"/>
        <v>0</v>
      </c>
      <c r="O51" s="565">
        <f t="shared" si="45"/>
        <v>0</v>
      </c>
      <c r="P51" s="688"/>
      <c r="Q51" s="565">
        <f t="shared" si="39"/>
        <v>0</v>
      </c>
      <c r="R51" s="565"/>
      <c r="S51" s="566"/>
      <c r="T51" s="685">
        <f t="shared" si="34"/>
        <v>0</v>
      </c>
      <c r="U51" s="685">
        <f t="shared" si="40"/>
        <v>0</v>
      </c>
      <c r="V51" s="685">
        <f t="shared" si="41"/>
        <v>0</v>
      </c>
      <c r="W51" s="684">
        <f t="shared" si="42"/>
        <v>0</v>
      </c>
      <c r="X51" s="682">
        <f t="shared" si="35"/>
        <v>0</v>
      </c>
      <c r="Y51" s="552"/>
      <c r="Z51" s="552"/>
      <c r="AA51" s="150"/>
    </row>
    <row r="52" spans="1:27" x14ac:dyDescent="0.25">
      <c r="A52" s="95" t="s">
        <v>477</v>
      </c>
      <c r="B52" s="159"/>
      <c r="C52" s="565">
        <f t="shared" si="36"/>
        <v>0</v>
      </c>
      <c r="D52" s="159"/>
      <c r="E52" s="565">
        <f t="shared" si="37"/>
        <v>0</v>
      </c>
      <c r="F52" s="159"/>
      <c r="G52" s="565">
        <f t="shared" si="38"/>
        <v>0</v>
      </c>
      <c r="H52" s="548"/>
      <c r="I52" s="565">
        <f t="shared" si="43"/>
        <v>0</v>
      </c>
      <c r="J52" s="548"/>
      <c r="K52" s="688"/>
      <c r="L52" s="565">
        <f t="shared" si="44"/>
        <v>0</v>
      </c>
      <c r="M52" s="688"/>
      <c r="N52" s="565">
        <f t="shared" si="33"/>
        <v>0</v>
      </c>
      <c r="O52" s="565">
        <f t="shared" si="45"/>
        <v>0</v>
      </c>
      <c r="P52" s="688"/>
      <c r="Q52" s="565">
        <f t="shared" si="39"/>
        <v>0</v>
      </c>
      <c r="R52" s="565"/>
      <c r="S52" s="566"/>
      <c r="T52" s="685">
        <f t="shared" si="34"/>
        <v>0</v>
      </c>
      <c r="U52" s="685">
        <f t="shared" si="40"/>
        <v>0</v>
      </c>
      <c r="V52" s="685">
        <f t="shared" si="41"/>
        <v>0</v>
      </c>
      <c r="W52" s="684">
        <f t="shared" si="42"/>
        <v>0</v>
      </c>
      <c r="X52" s="682">
        <f t="shared" si="35"/>
        <v>0</v>
      </c>
      <c r="Y52" s="552"/>
      <c r="Z52" s="552"/>
      <c r="AA52" s="150"/>
    </row>
    <row r="53" spans="1:27" x14ac:dyDescent="0.25">
      <c r="A53" s="95" t="s">
        <v>478</v>
      </c>
      <c r="B53" s="159"/>
      <c r="C53" s="565">
        <f t="shared" si="36"/>
        <v>0</v>
      </c>
      <c r="D53" s="159"/>
      <c r="E53" s="565">
        <f t="shared" si="37"/>
        <v>0</v>
      </c>
      <c r="F53" s="159"/>
      <c r="G53" s="565">
        <f t="shared" si="38"/>
        <v>0</v>
      </c>
      <c r="H53" s="548"/>
      <c r="I53" s="565">
        <f t="shared" si="43"/>
        <v>0</v>
      </c>
      <c r="J53" s="548"/>
      <c r="K53" s="688"/>
      <c r="L53" s="565">
        <f t="shared" si="44"/>
        <v>0</v>
      </c>
      <c r="M53" s="688"/>
      <c r="N53" s="565">
        <f t="shared" si="33"/>
        <v>0</v>
      </c>
      <c r="O53" s="565">
        <f t="shared" si="45"/>
        <v>0</v>
      </c>
      <c r="P53" s="688"/>
      <c r="Q53" s="565">
        <f t="shared" si="39"/>
        <v>0</v>
      </c>
      <c r="R53" s="565"/>
      <c r="S53" s="566"/>
      <c r="T53" s="685">
        <f t="shared" si="34"/>
        <v>0</v>
      </c>
      <c r="U53" s="685">
        <f t="shared" si="40"/>
        <v>0</v>
      </c>
      <c r="V53" s="685">
        <f t="shared" si="41"/>
        <v>0</v>
      </c>
      <c r="W53" s="684">
        <f t="shared" si="42"/>
        <v>0</v>
      </c>
      <c r="X53" s="682">
        <f t="shared" si="35"/>
        <v>0</v>
      </c>
      <c r="Y53" s="552"/>
      <c r="Z53" s="552"/>
      <c r="AA53" s="150"/>
    </row>
    <row r="54" spans="1:27" x14ac:dyDescent="0.25">
      <c r="A54" s="95" t="s">
        <v>479</v>
      </c>
      <c r="B54" s="159"/>
      <c r="C54" s="565">
        <f t="shared" si="36"/>
        <v>0</v>
      </c>
      <c r="D54" s="159"/>
      <c r="E54" s="565">
        <f t="shared" si="37"/>
        <v>0</v>
      </c>
      <c r="F54" s="159"/>
      <c r="G54" s="565">
        <f t="shared" si="38"/>
        <v>0</v>
      </c>
      <c r="H54" s="548"/>
      <c r="I54" s="565">
        <f t="shared" si="43"/>
        <v>0</v>
      </c>
      <c r="J54" s="548"/>
      <c r="K54" s="688"/>
      <c r="L54" s="565">
        <f t="shared" si="44"/>
        <v>0</v>
      </c>
      <c r="M54" s="688"/>
      <c r="N54" s="565">
        <f t="shared" si="33"/>
        <v>0</v>
      </c>
      <c r="O54" s="565">
        <f t="shared" si="45"/>
        <v>0</v>
      </c>
      <c r="P54" s="688"/>
      <c r="Q54" s="565">
        <f t="shared" si="39"/>
        <v>0</v>
      </c>
      <c r="R54" s="565"/>
      <c r="S54" s="566"/>
      <c r="T54" s="685">
        <f t="shared" si="34"/>
        <v>0</v>
      </c>
      <c r="U54" s="685">
        <f t="shared" si="40"/>
        <v>0</v>
      </c>
      <c r="V54" s="685">
        <f t="shared" si="41"/>
        <v>0</v>
      </c>
      <c r="W54" s="684">
        <f t="shared" si="42"/>
        <v>0</v>
      </c>
      <c r="X54" s="682">
        <f t="shared" si="35"/>
        <v>0</v>
      </c>
      <c r="Y54" s="552"/>
      <c r="Z54" s="552"/>
      <c r="AA54" s="150"/>
    </row>
    <row r="55" spans="1:27" x14ac:dyDescent="0.25">
      <c r="A55" s="95" t="s">
        <v>480</v>
      </c>
      <c r="B55" s="159"/>
      <c r="C55" s="565">
        <f t="shared" si="36"/>
        <v>0</v>
      </c>
      <c r="D55" s="159"/>
      <c r="E55" s="565">
        <f t="shared" si="37"/>
        <v>0</v>
      </c>
      <c r="F55" s="159"/>
      <c r="G55" s="565">
        <f t="shared" si="38"/>
        <v>0</v>
      </c>
      <c r="H55" s="548"/>
      <c r="I55" s="565">
        <f t="shared" si="43"/>
        <v>0</v>
      </c>
      <c r="J55" s="548"/>
      <c r="K55" s="688"/>
      <c r="L55" s="565">
        <f t="shared" si="44"/>
        <v>0</v>
      </c>
      <c r="M55" s="688"/>
      <c r="N55" s="565">
        <f t="shared" si="33"/>
        <v>0</v>
      </c>
      <c r="O55" s="565">
        <f t="shared" si="45"/>
        <v>0</v>
      </c>
      <c r="P55" s="688"/>
      <c r="Q55" s="565">
        <f t="shared" si="39"/>
        <v>0</v>
      </c>
      <c r="R55" s="565"/>
      <c r="S55" s="566"/>
      <c r="T55" s="685">
        <f t="shared" si="34"/>
        <v>0</v>
      </c>
      <c r="U55" s="685">
        <f t="shared" si="40"/>
        <v>0</v>
      </c>
      <c r="V55" s="685">
        <f t="shared" si="41"/>
        <v>0</v>
      </c>
      <c r="W55" s="684">
        <f t="shared" si="42"/>
        <v>0</v>
      </c>
      <c r="X55" s="682">
        <f t="shared" si="35"/>
        <v>0</v>
      </c>
      <c r="Y55" s="552"/>
      <c r="Z55" s="552"/>
      <c r="AA55" s="150"/>
    </row>
    <row r="56" spans="1:27" x14ac:dyDescent="0.25">
      <c r="A56" s="95" t="s">
        <v>481</v>
      </c>
      <c r="B56" s="159"/>
      <c r="C56" s="565">
        <f t="shared" si="36"/>
        <v>0</v>
      </c>
      <c r="D56" s="159"/>
      <c r="E56" s="565">
        <f t="shared" si="37"/>
        <v>0</v>
      </c>
      <c r="F56" s="159"/>
      <c r="G56" s="565">
        <f t="shared" si="38"/>
        <v>0</v>
      </c>
      <c r="H56" s="548"/>
      <c r="I56" s="565">
        <f t="shared" si="43"/>
        <v>0</v>
      </c>
      <c r="J56" s="548"/>
      <c r="K56" s="688"/>
      <c r="L56" s="565">
        <f t="shared" si="44"/>
        <v>0</v>
      </c>
      <c r="M56" s="688"/>
      <c r="N56" s="565">
        <f t="shared" si="33"/>
        <v>0</v>
      </c>
      <c r="O56" s="565">
        <f t="shared" si="45"/>
        <v>0</v>
      </c>
      <c r="P56" s="688"/>
      <c r="Q56" s="565">
        <f t="shared" si="39"/>
        <v>0</v>
      </c>
      <c r="R56" s="565"/>
      <c r="S56" s="566"/>
      <c r="T56" s="685">
        <f t="shared" si="34"/>
        <v>0</v>
      </c>
      <c r="U56" s="685">
        <f t="shared" si="40"/>
        <v>0</v>
      </c>
      <c r="V56" s="685">
        <f t="shared" si="41"/>
        <v>0</v>
      </c>
      <c r="W56" s="684">
        <f t="shared" si="42"/>
        <v>0</v>
      </c>
      <c r="X56" s="682">
        <f t="shared" si="35"/>
        <v>0</v>
      </c>
      <c r="Y56" s="552"/>
      <c r="Z56" s="552"/>
      <c r="AA56" s="150"/>
    </row>
    <row r="57" spans="1:27" x14ac:dyDescent="0.25">
      <c r="A57" s="95" t="s">
        <v>482</v>
      </c>
      <c r="B57" s="159"/>
      <c r="C57" s="565">
        <f t="shared" si="36"/>
        <v>0</v>
      </c>
      <c r="D57" s="159"/>
      <c r="E57" s="565">
        <f t="shared" si="37"/>
        <v>0</v>
      </c>
      <c r="F57" s="159"/>
      <c r="G57" s="565">
        <f t="shared" si="38"/>
        <v>0</v>
      </c>
      <c r="H57" s="548"/>
      <c r="I57" s="565">
        <f t="shared" si="43"/>
        <v>0</v>
      </c>
      <c r="J57" s="548"/>
      <c r="K57" s="688"/>
      <c r="L57" s="565">
        <f t="shared" si="44"/>
        <v>0</v>
      </c>
      <c r="M57" s="688"/>
      <c r="N57" s="565">
        <f t="shared" si="33"/>
        <v>0</v>
      </c>
      <c r="O57" s="565">
        <f t="shared" si="45"/>
        <v>0</v>
      </c>
      <c r="P57" s="688"/>
      <c r="Q57" s="565">
        <f t="shared" si="39"/>
        <v>0</v>
      </c>
      <c r="R57" s="565"/>
      <c r="S57" s="566"/>
      <c r="T57" s="685">
        <f t="shared" si="34"/>
        <v>0</v>
      </c>
      <c r="U57" s="685">
        <f t="shared" si="40"/>
        <v>0</v>
      </c>
      <c r="V57" s="685">
        <f t="shared" si="41"/>
        <v>0</v>
      </c>
      <c r="W57" s="684">
        <f t="shared" si="42"/>
        <v>0</v>
      </c>
      <c r="X57" s="682">
        <f t="shared" si="35"/>
        <v>0</v>
      </c>
      <c r="Y57" s="552"/>
      <c r="Z57" s="552"/>
      <c r="AA57" s="150"/>
    </row>
    <row r="58" spans="1:27" x14ac:dyDescent="0.25">
      <c r="A58" s="95" t="s">
        <v>483</v>
      </c>
      <c r="B58" s="159"/>
      <c r="C58" s="565">
        <f t="shared" si="36"/>
        <v>0</v>
      </c>
      <c r="D58" s="159"/>
      <c r="E58" s="565">
        <f t="shared" si="37"/>
        <v>0</v>
      </c>
      <c r="F58" s="159"/>
      <c r="G58" s="565">
        <f t="shared" si="38"/>
        <v>0</v>
      </c>
      <c r="H58" s="548"/>
      <c r="I58" s="565">
        <f t="shared" si="43"/>
        <v>0</v>
      </c>
      <c r="J58" s="548"/>
      <c r="K58" s="688"/>
      <c r="L58" s="565">
        <f t="shared" si="44"/>
        <v>0</v>
      </c>
      <c r="M58" s="688"/>
      <c r="N58" s="565">
        <f t="shared" si="33"/>
        <v>0</v>
      </c>
      <c r="O58" s="565">
        <f t="shared" si="45"/>
        <v>0</v>
      </c>
      <c r="P58" s="688"/>
      <c r="Q58" s="565">
        <f t="shared" si="39"/>
        <v>0</v>
      </c>
      <c r="R58" s="565"/>
      <c r="S58" s="566"/>
      <c r="T58" s="685">
        <f t="shared" si="34"/>
        <v>0</v>
      </c>
      <c r="U58" s="685">
        <f t="shared" si="40"/>
        <v>0</v>
      </c>
      <c r="V58" s="685">
        <f t="shared" si="41"/>
        <v>0</v>
      </c>
      <c r="W58" s="684">
        <f t="shared" si="42"/>
        <v>0</v>
      </c>
      <c r="X58" s="682">
        <f t="shared" si="35"/>
        <v>0</v>
      </c>
      <c r="Y58" s="552"/>
      <c r="Z58" s="552"/>
      <c r="AA58" s="150"/>
    </row>
    <row r="59" spans="1:27" x14ac:dyDescent="0.25">
      <c r="A59" s="567" t="s">
        <v>258</v>
      </c>
      <c r="B59" s="566">
        <f>SUM(B47:B58)</f>
        <v>0</v>
      </c>
      <c r="C59" s="565"/>
      <c r="D59" s="566">
        <f>SUM(D47:D58)</f>
        <v>0</v>
      </c>
      <c r="E59" s="565"/>
      <c r="F59" s="566">
        <f>SUM(F47:F58)</f>
        <v>0</v>
      </c>
      <c r="G59" s="565"/>
      <c r="H59" s="566">
        <f>SUM(H47:H58)</f>
        <v>0</v>
      </c>
      <c r="I59" s="565"/>
      <c r="J59" s="566">
        <f>SUM(J47:J58)</f>
        <v>0</v>
      </c>
      <c r="K59" s="566">
        <f>SUM(K47:K58)</f>
        <v>0</v>
      </c>
      <c r="L59" s="565"/>
      <c r="M59" s="566">
        <f>SUM(M47:M58)</f>
        <v>0</v>
      </c>
      <c r="N59" s="566">
        <f>SUM(N47:N58)</f>
        <v>0</v>
      </c>
      <c r="O59" s="565"/>
      <c r="P59" s="566">
        <f>SUM(P47:P58)</f>
        <v>0</v>
      </c>
      <c r="Q59" s="566">
        <f>SUM(Q47:Q58)</f>
        <v>0</v>
      </c>
      <c r="R59" s="566"/>
      <c r="S59" s="566">
        <f>N59+Q59</f>
        <v>0</v>
      </c>
      <c r="T59" s="566">
        <f>SUM(T47:T58)</f>
        <v>0</v>
      </c>
      <c r="U59" s="566">
        <f>SUM(U47:U58)</f>
        <v>0</v>
      </c>
      <c r="V59" s="566">
        <f>SUM(V47:V58)</f>
        <v>0</v>
      </c>
      <c r="W59" s="566">
        <f>SUM(W47:W58)</f>
        <v>0</v>
      </c>
      <c r="X59" s="566">
        <f>SUM(X47:X58)</f>
        <v>0</v>
      </c>
      <c r="Y59" s="552"/>
      <c r="Z59" s="552"/>
      <c r="AA59" s="150"/>
    </row>
    <row r="60" spans="1:27" x14ac:dyDescent="0.25">
      <c r="A60" s="106">
        <f>'Oper.St.'!F11</f>
        <v>2023</v>
      </c>
      <c r="B60" s="1011">
        <f>A60</f>
        <v>2023</v>
      </c>
      <c r="C60" s="1011">
        <f>B60</f>
        <v>2023</v>
      </c>
      <c r="D60" s="1011">
        <f t="shared" ref="D60:X60" si="46">C60</f>
        <v>2023</v>
      </c>
      <c r="E60" s="1011">
        <f t="shared" si="46"/>
        <v>2023</v>
      </c>
      <c r="F60" s="1011">
        <f t="shared" si="46"/>
        <v>2023</v>
      </c>
      <c r="G60" s="1011">
        <f t="shared" si="46"/>
        <v>2023</v>
      </c>
      <c r="H60" s="1011">
        <f t="shared" si="46"/>
        <v>2023</v>
      </c>
      <c r="I60" s="1011">
        <f t="shared" si="46"/>
        <v>2023</v>
      </c>
      <c r="J60" s="1011"/>
      <c r="K60" s="1011">
        <f>I60</f>
        <v>2023</v>
      </c>
      <c r="L60" s="1011">
        <f t="shared" si="46"/>
        <v>2023</v>
      </c>
      <c r="M60" s="1011">
        <f t="shared" si="46"/>
        <v>2023</v>
      </c>
      <c r="N60" s="1011">
        <f t="shared" si="46"/>
        <v>2023</v>
      </c>
      <c r="O60" s="1011">
        <f t="shared" si="46"/>
        <v>2023</v>
      </c>
      <c r="P60" s="1011">
        <f t="shared" si="46"/>
        <v>2023</v>
      </c>
      <c r="Q60" s="1011">
        <f>O60</f>
        <v>2023</v>
      </c>
      <c r="R60" s="1011">
        <f t="shared" si="46"/>
        <v>2023</v>
      </c>
      <c r="S60" s="1011">
        <f t="shared" si="46"/>
        <v>2023</v>
      </c>
      <c r="T60" s="1011">
        <f t="shared" si="46"/>
        <v>2023</v>
      </c>
      <c r="U60" s="1011">
        <f t="shared" si="46"/>
        <v>2023</v>
      </c>
      <c r="V60" s="1011">
        <f t="shared" si="46"/>
        <v>2023</v>
      </c>
      <c r="W60" s="1011">
        <f t="shared" si="46"/>
        <v>2023</v>
      </c>
      <c r="X60" s="1011">
        <f t="shared" si="46"/>
        <v>2023</v>
      </c>
      <c r="Y60" s="552"/>
      <c r="Z60" s="552"/>
      <c r="AA60" s="150"/>
    </row>
    <row r="61" spans="1:27" x14ac:dyDescent="0.25">
      <c r="A61" s="95" t="s">
        <v>472</v>
      </c>
      <c r="B61" s="159"/>
      <c r="C61" s="565">
        <f>C58-B58</f>
        <v>0</v>
      </c>
      <c r="D61" s="159"/>
      <c r="E61" s="565">
        <f>E58-D58</f>
        <v>0</v>
      </c>
      <c r="F61" s="159"/>
      <c r="G61" s="565">
        <f>G58-F58</f>
        <v>0</v>
      </c>
      <c r="H61" s="548"/>
      <c r="I61" s="565">
        <f>I58-H58+J61</f>
        <v>0</v>
      </c>
      <c r="J61" s="548"/>
      <c r="K61" s="688"/>
      <c r="L61" s="565">
        <f>L58-K58+M61</f>
        <v>0</v>
      </c>
      <c r="M61" s="688"/>
      <c r="N61" s="565">
        <f t="shared" ref="N61:N72" si="47">T61+U61+V61+W61+X61</f>
        <v>0</v>
      </c>
      <c r="O61" s="565">
        <f>O58+P61</f>
        <v>0</v>
      </c>
      <c r="P61" s="688"/>
      <c r="Q61" s="565">
        <f>O61*$Q$16/100/12*$R$16/100</f>
        <v>0</v>
      </c>
      <c r="R61" s="565"/>
      <c r="S61" s="566"/>
      <c r="T61" s="685">
        <f t="shared" ref="T61:T72" si="48">C61*$C$17/100/12</f>
        <v>0</v>
      </c>
      <c r="U61" s="685">
        <f>E61*$E$17/100/12</f>
        <v>0</v>
      </c>
      <c r="V61" s="685">
        <f>G61*$G$17/100/12</f>
        <v>0</v>
      </c>
      <c r="W61" s="684">
        <f>I61*$I$17/100/12</f>
        <v>0</v>
      </c>
      <c r="X61" s="682">
        <f t="shared" ref="X61:X72" si="49">L61*$L$17/100/12</f>
        <v>0</v>
      </c>
      <c r="Y61" s="552"/>
      <c r="Z61" s="552"/>
      <c r="AA61" s="150"/>
    </row>
    <row r="62" spans="1:27" x14ac:dyDescent="0.25">
      <c r="A62" s="95" t="s">
        <v>473</v>
      </c>
      <c r="B62" s="159"/>
      <c r="C62" s="565">
        <f t="shared" ref="C62:C72" si="50">C61-B61</f>
        <v>0</v>
      </c>
      <c r="D62" s="159"/>
      <c r="E62" s="565">
        <f t="shared" ref="E62:E72" si="51">E61-D61</f>
        <v>0</v>
      </c>
      <c r="F62" s="159"/>
      <c r="G62" s="565">
        <f t="shared" ref="G62:G72" si="52">G61-F61</f>
        <v>0</v>
      </c>
      <c r="H62" s="548"/>
      <c r="I62" s="565">
        <f>I61-H61+J62</f>
        <v>0</v>
      </c>
      <c r="J62" s="548"/>
      <c r="K62" s="688"/>
      <c r="L62" s="565">
        <f>L61-K61+M62</f>
        <v>0</v>
      </c>
      <c r="M62" s="688"/>
      <c r="N62" s="565">
        <f t="shared" si="47"/>
        <v>0</v>
      </c>
      <c r="O62" s="565">
        <f>O61+P62</f>
        <v>0</v>
      </c>
      <c r="P62" s="688"/>
      <c r="Q62" s="565">
        <f t="shared" ref="Q62:Q72" si="53">O62*$Q$16/100/12*$R$16/100</f>
        <v>0</v>
      </c>
      <c r="R62" s="565"/>
      <c r="S62" s="566"/>
      <c r="T62" s="685">
        <f t="shared" si="48"/>
        <v>0</v>
      </c>
      <c r="U62" s="685">
        <f t="shared" ref="U62:U72" si="54">E62*$E$17/100/12</f>
        <v>0</v>
      </c>
      <c r="V62" s="685">
        <f t="shared" ref="V62:V72" si="55">G62*$G$17/100/12</f>
        <v>0</v>
      </c>
      <c r="W62" s="684">
        <f t="shared" ref="W62:W72" si="56">I62*$I$17/100/12</f>
        <v>0</v>
      </c>
      <c r="X62" s="682">
        <f t="shared" si="49"/>
        <v>0</v>
      </c>
      <c r="Y62" s="552"/>
      <c r="Z62" s="552"/>
      <c r="AA62" s="150"/>
    </row>
    <row r="63" spans="1:27" s="94" customFormat="1" x14ac:dyDescent="0.25">
      <c r="A63" s="95" t="s">
        <v>474</v>
      </c>
      <c r="B63" s="159"/>
      <c r="C63" s="565">
        <f t="shared" si="50"/>
        <v>0</v>
      </c>
      <c r="D63" s="159"/>
      <c r="E63" s="565">
        <f t="shared" si="51"/>
        <v>0</v>
      </c>
      <c r="F63" s="159"/>
      <c r="G63" s="565">
        <f t="shared" si="52"/>
        <v>0</v>
      </c>
      <c r="H63" s="548"/>
      <c r="I63" s="565">
        <f t="shared" ref="I63:I72" si="57">I62-H62+J63</f>
        <v>0</v>
      </c>
      <c r="J63" s="548"/>
      <c r="K63" s="688"/>
      <c r="L63" s="565">
        <f t="shared" ref="L63:L72" si="58">L62-K62+M63</f>
        <v>0</v>
      </c>
      <c r="M63" s="688"/>
      <c r="N63" s="565">
        <f t="shared" si="47"/>
        <v>0</v>
      </c>
      <c r="O63" s="565">
        <f t="shared" ref="O63:O72" si="59">O62+P63</f>
        <v>0</v>
      </c>
      <c r="P63" s="688"/>
      <c r="Q63" s="565">
        <f t="shared" si="53"/>
        <v>0</v>
      </c>
      <c r="R63" s="565"/>
      <c r="S63" s="566"/>
      <c r="T63" s="685">
        <f t="shared" si="48"/>
        <v>0</v>
      </c>
      <c r="U63" s="685">
        <f t="shared" si="54"/>
        <v>0</v>
      </c>
      <c r="V63" s="685">
        <f t="shared" si="55"/>
        <v>0</v>
      </c>
      <c r="W63" s="684">
        <f t="shared" si="56"/>
        <v>0</v>
      </c>
      <c r="X63" s="682">
        <f t="shared" si="49"/>
        <v>0</v>
      </c>
      <c r="Y63" s="552"/>
      <c r="Z63" s="552"/>
      <c r="AA63" s="151"/>
    </row>
    <row r="64" spans="1:27" x14ac:dyDescent="0.25">
      <c r="A64" s="95" t="s">
        <v>475</v>
      </c>
      <c r="B64" s="159"/>
      <c r="C64" s="565">
        <f t="shared" si="50"/>
        <v>0</v>
      </c>
      <c r="D64" s="159"/>
      <c r="E64" s="565">
        <f t="shared" si="51"/>
        <v>0</v>
      </c>
      <c r="F64" s="159"/>
      <c r="G64" s="565">
        <f t="shared" si="52"/>
        <v>0</v>
      </c>
      <c r="H64" s="548"/>
      <c r="I64" s="565">
        <f t="shared" si="57"/>
        <v>0</v>
      </c>
      <c r="J64" s="548"/>
      <c r="K64" s="688"/>
      <c r="L64" s="565">
        <f t="shared" si="58"/>
        <v>0</v>
      </c>
      <c r="M64" s="688"/>
      <c r="N64" s="565">
        <f t="shared" si="47"/>
        <v>0</v>
      </c>
      <c r="O64" s="565">
        <f t="shared" si="59"/>
        <v>0</v>
      </c>
      <c r="P64" s="688"/>
      <c r="Q64" s="565">
        <f t="shared" si="53"/>
        <v>0</v>
      </c>
      <c r="R64" s="565"/>
      <c r="S64" s="566"/>
      <c r="T64" s="685">
        <f t="shared" si="48"/>
        <v>0</v>
      </c>
      <c r="U64" s="685">
        <f t="shared" si="54"/>
        <v>0</v>
      </c>
      <c r="V64" s="685">
        <f t="shared" si="55"/>
        <v>0</v>
      </c>
      <c r="W64" s="684">
        <f t="shared" si="56"/>
        <v>0</v>
      </c>
      <c r="X64" s="682">
        <f t="shared" si="49"/>
        <v>0</v>
      </c>
      <c r="Y64" s="552"/>
      <c r="Z64" s="552"/>
      <c r="AA64" s="150"/>
    </row>
    <row r="65" spans="1:27" x14ac:dyDescent="0.25">
      <c r="A65" s="95" t="s">
        <v>476</v>
      </c>
      <c r="B65" s="159"/>
      <c r="C65" s="565">
        <f t="shared" si="50"/>
        <v>0</v>
      </c>
      <c r="D65" s="159"/>
      <c r="E65" s="565">
        <f t="shared" si="51"/>
        <v>0</v>
      </c>
      <c r="F65" s="159"/>
      <c r="G65" s="565">
        <f t="shared" si="52"/>
        <v>0</v>
      </c>
      <c r="H65" s="548"/>
      <c r="I65" s="565">
        <f t="shared" si="57"/>
        <v>0</v>
      </c>
      <c r="J65" s="548"/>
      <c r="K65" s="688"/>
      <c r="L65" s="565">
        <f t="shared" si="58"/>
        <v>0</v>
      </c>
      <c r="M65" s="688"/>
      <c r="N65" s="565">
        <f t="shared" si="47"/>
        <v>0</v>
      </c>
      <c r="O65" s="565">
        <f t="shared" si="59"/>
        <v>0</v>
      </c>
      <c r="P65" s="688"/>
      <c r="Q65" s="565">
        <f t="shared" si="53"/>
        <v>0</v>
      </c>
      <c r="R65" s="565"/>
      <c r="S65" s="566"/>
      <c r="T65" s="685">
        <f t="shared" si="48"/>
        <v>0</v>
      </c>
      <c r="U65" s="685">
        <f t="shared" si="54"/>
        <v>0</v>
      </c>
      <c r="V65" s="685">
        <f t="shared" si="55"/>
        <v>0</v>
      </c>
      <c r="W65" s="684">
        <f t="shared" si="56"/>
        <v>0</v>
      </c>
      <c r="X65" s="682">
        <f t="shared" si="49"/>
        <v>0</v>
      </c>
      <c r="Y65" s="552"/>
      <c r="Z65" s="552"/>
      <c r="AA65" s="150"/>
    </row>
    <row r="66" spans="1:27" x14ac:dyDescent="0.25">
      <c r="A66" s="95" t="s">
        <v>477</v>
      </c>
      <c r="B66" s="159"/>
      <c r="C66" s="565">
        <f t="shared" si="50"/>
        <v>0</v>
      </c>
      <c r="D66" s="159"/>
      <c r="E66" s="565">
        <f t="shared" si="51"/>
        <v>0</v>
      </c>
      <c r="F66" s="159"/>
      <c r="G66" s="565">
        <f t="shared" si="52"/>
        <v>0</v>
      </c>
      <c r="H66" s="548"/>
      <c r="I66" s="565">
        <f t="shared" si="57"/>
        <v>0</v>
      </c>
      <c r="J66" s="548"/>
      <c r="K66" s="688"/>
      <c r="L66" s="565">
        <f t="shared" si="58"/>
        <v>0</v>
      </c>
      <c r="M66" s="688"/>
      <c r="N66" s="565">
        <f t="shared" si="47"/>
        <v>0</v>
      </c>
      <c r="O66" s="565">
        <f t="shared" si="59"/>
        <v>0</v>
      </c>
      <c r="P66" s="688"/>
      <c r="Q66" s="565">
        <f t="shared" si="53"/>
        <v>0</v>
      </c>
      <c r="R66" s="565"/>
      <c r="S66" s="566"/>
      <c r="T66" s="685">
        <f t="shared" si="48"/>
        <v>0</v>
      </c>
      <c r="U66" s="685">
        <f t="shared" si="54"/>
        <v>0</v>
      </c>
      <c r="V66" s="685">
        <f t="shared" si="55"/>
        <v>0</v>
      </c>
      <c r="W66" s="684">
        <f t="shared" si="56"/>
        <v>0</v>
      </c>
      <c r="X66" s="682">
        <f t="shared" si="49"/>
        <v>0</v>
      </c>
      <c r="Y66" s="552"/>
      <c r="Z66" s="552"/>
      <c r="AA66" s="150"/>
    </row>
    <row r="67" spans="1:27" x14ac:dyDescent="0.25">
      <c r="A67" s="95" t="s">
        <v>478</v>
      </c>
      <c r="B67" s="159"/>
      <c r="C67" s="565">
        <f t="shared" si="50"/>
        <v>0</v>
      </c>
      <c r="D67" s="159"/>
      <c r="E67" s="565">
        <f t="shared" si="51"/>
        <v>0</v>
      </c>
      <c r="F67" s="159"/>
      <c r="G67" s="565">
        <f t="shared" si="52"/>
        <v>0</v>
      </c>
      <c r="H67" s="548"/>
      <c r="I67" s="565">
        <f t="shared" si="57"/>
        <v>0</v>
      </c>
      <c r="J67" s="548"/>
      <c r="K67" s="688"/>
      <c r="L67" s="565">
        <f t="shared" si="58"/>
        <v>0</v>
      </c>
      <c r="M67" s="688"/>
      <c r="N67" s="565">
        <f t="shared" si="47"/>
        <v>0</v>
      </c>
      <c r="O67" s="565">
        <f t="shared" si="59"/>
        <v>0</v>
      </c>
      <c r="P67" s="688"/>
      <c r="Q67" s="565">
        <f t="shared" si="53"/>
        <v>0</v>
      </c>
      <c r="R67" s="565"/>
      <c r="S67" s="566"/>
      <c r="T67" s="685">
        <f t="shared" si="48"/>
        <v>0</v>
      </c>
      <c r="U67" s="685">
        <f t="shared" si="54"/>
        <v>0</v>
      </c>
      <c r="V67" s="685">
        <f t="shared" si="55"/>
        <v>0</v>
      </c>
      <c r="W67" s="684">
        <f t="shared" si="56"/>
        <v>0</v>
      </c>
      <c r="X67" s="682">
        <f t="shared" si="49"/>
        <v>0</v>
      </c>
      <c r="Y67" s="552"/>
      <c r="Z67" s="552"/>
      <c r="AA67" s="150"/>
    </row>
    <row r="68" spans="1:27" x14ac:dyDescent="0.25">
      <c r="A68" s="95" t="s">
        <v>479</v>
      </c>
      <c r="B68" s="159"/>
      <c r="C68" s="565">
        <f t="shared" si="50"/>
        <v>0</v>
      </c>
      <c r="D68" s="159"/>
      <c r="E68" s="565">
        <f t="shared" si="51"/>
        <v>0</v>
      </c>
      <c r="F68" s="159"/>
      <c r="G68" s="565">
        <f t="shared" si="52"/>
        <v>0</v>
      </c>
      <c r="H68" s="548"/>
      <c r="I68" s="565">
        <f t="shared" si="57"/>
        <v>0</v>
      </c>
      <c r="J68" s="548"/>
      <c r="K68" s="688"/>
      <c r="L68" s="565">
        <f t="shared" si="58"/>
        <v>0</v>
      </c>
      <c r="M68" s="688"/>
      <c r="N68" s="565">
        <f t="shared" si="47"/>
        <v>0</v>
      </c>
      <c r="O68" s="565">
        <f t="shared" si="59"/>
        <v>0</v>
      </c>
      <c r="P68" s="688"/>
      <c r="Q68" s="565">
        <f t="shared" si="53"/>
        <v>0</v>
      </c>
      <c r="R68" s="565"/>
      <c r="S68" s="566"/>
      <c r="T68" s="685">
        <f t="shared" si="48"/>
        <v>0</v>
      </c>
      <c r="U68" s="685">
        <f t="shared" si="54"/>
        <v>0</v>
      </c>
      <c r="V68" s="685">
        <f t="shared" si="55"/>
        <v>0</v>
      </c>
      <c r="W68" s="684">
        <f t="shared" si="56"/>
        <v>0</v>
      </c>
      <c r="X68" s="682">
        <f t="shared" si="49"/>
        <v>0</v>
      </c>
      <c r="Y68" s="552"/>
      <c r="Z68" s="552"/>
      <c r="AA68" s="150"/>
    </row>
    <row r="69" spans="1:27" x14ac:dyDescent="0.25">
      <c r="A69" s="95" t="s">
        <v>480</v>
      </c>
      <c r="B69" s="159"/>
      <c r="C69" s="565">
        <f t="shared" si="50"/>
        <v>0</v>
      </c>
      <c r="D69" s="159"/>
      <c r="E69" s="565">
        <f t="shared" si="51"/>
        <v>0</v>
      </c>
      <c r="F69" s="159"/>
      <c r="G69" s="565">
        <f t="shared" si="52"/>
        <v>0</v>
      </c>
      <c r="H69" s="548"/>
      <c r="I69" s="565">
        <f t="shared" si="57"/>
        <v>0</v>
      </c>
      <c r="J69" s="548"/>
      <c r="K69" s="688"/>
      <c r="L69" s="565">
        <f t="shared" si="58"/>
        <v>0</v>
      </c>
      <c r="M69" s="688"/>
      <c r="N69" s="565">
        <f t="shared" si="47"/>
        <v>0</v>
      </c>
      <c r="O69" s="565">
        <f t="shared" si="59"/>
        <v>0</v>
      </c>
      <c r="P69" s="688"/>
      <c r="Q69" s="565">
        <f t="shared" si="53"/>
        <v>0</v>
      </c>
      <c r="R69" s="565"/>
      <c r="S69" s="566"/>
      <c r="T69" s="685">
        <f t="shared" si="48"/>
        <v>0</v>
      </c>
      <c r="U69" s="685">
        <f t="shared" si="54"/>
        <v>0</v>
      </c>
      <c r="V69" s="685">
        <f t="shared" si="55"/>
        <v>0</v>
      </c>
      <c r="W69" s="684">
        <f t="shared" si="56"/>
        <v>0</v>
      </c>
      <c r="X69" s="682">
        <f t="shared" si="49"/>
        <v>0</v>
      </c>
      <c r="Y69" s="552"/>
      <c r="Z69" s="552"/>
      <c r="AA69" s="150"/>
    </row>
    <row r="70" spans="1:27" x14ac:dyDescent="0.25">
      <c r="A70" s="95" t="s">
        <v>481</v>
      </c>
      <c r="B70" s="159"/>
      <c r="C70" s="565">
        <f t="shared" si="50"/>
        <v>0</v>
      </c>
      <c r="D70" s="159"/>
      <c r="E70" s="565">
        <f t="shared" si="51"/>
        <v>0</v>
      </c>
      <c r="F70" s="159"/>
      <c r="G70" s="565">
        <f t="shared" si="52"/>
        <v>0</v>
      </c>
      <c r="H70" s="548"/>
      <c r="I70" s="565">
        <f t="shared" si="57"/>
        <v>0</v>
      </c>
      <c r="J70" s="548"/>
      <c r="K70" s="688"/>
      <c r="L70" s="565">
        <f t="shared" si="58"/>
        <v>0</v>
      </c>
      <c r="M70" s="688"/>
      <c r="N70" s="565">
        <f t="shared" si="47"/>
        <v>0</v>
      </c>
      <c r="O70" s="565">
        <f t="shared" si="59"/>
        <v>0</v>
      </c>
      <c r="P70" s="688"/>
      <c r="Q70" s="565">
        <f t="shared" si="53"/>
        <v>0</v>
      </c>
      <c r="R70" s="565"/>
      <c r="S70" s="566"/>
      <c r="T70" s="685">
        <f t="shared" si="48"/>
        <v>0</v>
      </c>
      <c r="U70" s="685">
        <f t="shared" si="54"/>
        <v>0</v>
      </c>
      <c r="V70" s="685">
        <f t="shared" si="55"/>
        <v>0</v>
      </c>
      <c r="W70" s="684">
        <f t="shared" si="56"/>
        <v>0</v>
      </c>
      <c r="X70" s="682">
        <f t="shared" si="49"/>
        <v>0</v>
      </c>
      <c r="Y70" s="552"/>
      <c r="Z70" s="552"/>
      <c r="AA70" s="150"/>
    </row>
    <row r="71" spans="1:27" x14ac:dyDescent="0.25">
      <c r="A71" s="95" t="s">
        <v>482</v>
      </c>
      <c r="B71" s="159"/>
      <c r="C71" s="565">
        <f t="shared" si="50"/>
        <v>0</v>
      </c>
      <c r="D71" s="159"/>
      <c r="E71" s="565">
        <f t="shared" si="51"/>
        <v>0</v>
      </c>
      <c r="F71" s="159"/>
      <c r="G71" s="565">
        <f t="shared" si="52"/>
        <v>0</v>
      </c>
      <c r="H71" s="548"/>
      <c r="I71" s="565">
        <f t="shared" si="57"/>
        <v>2</v>
      </c>
      <c r="J71" s="548">
        <v>2</v>
      </c>
      <c r="K71" s="688"/>
      <c r="L71" s="565">
        <f t="shared" si="58"/>
        <v>0</v>
      </c>
      <c r="M71" s="688"/>
      <c r="N71" s="565">
        <f t="shared" si="47"/>
        <v>1.325E-2</v>
      </c>
      <c r="O71" s="565">
        <f t="shared" si="59"/>
        <v>0</v>
      </c>
      <c r="P71" s="688"/>
      <c r="Q71" s="565">
        <f t="shared" si="53"/>
        <v>0</v>
      </c>
      <c r="R71" s="565"/>
      <c r="S71" s="566"/>
      <c r="T71" s="685">
        <f t="shared" si="48"/>
        <v>0</v>
      </c>
      <c r="U71" s="685">
        <f t="shared" si="54"/>
        <v>0</v>
      </c>
      <c r="V71" s="685">
        <f t="shared" si="55"/>
        <v>0</v>
      </c>
      <c r="W71" s="684">
        <f t="shared" si="56"/>
        <v>1.325E-2</v>
      </c>
      <c r="X71" s="682">
        <f t="shared" si="49"/>
        <v>0</v>
      </c>
      <c r="Y71" s="552"/>
      <c r="Z71" s="552"/>
      <c r="AA71" s="150"/>
    </row>
    <row r="72" spans="1:27" x14ac:dyDescent="0.25">
      <c r="A72" s="95" t="s">
        <v>483</v>
      </c>
      <c r="B72" s="159"/>
      <c r="C72" s="565">
        <f t="shared" si="50"/>
        <v>0</v>
      </c>
      <c r="D72" s="159"/>
      <c r="E72" s="565">
        <f t="shared" si="51"/>
        <v>0</v>
      </c>
      <c r="F72" s="159"/>
      <c r="G72" s="565">
        <f t="shared" si="52"/>
        <v>0</v>
      </c>
      <c r="H72" s="548"/>
      <c r="I72" s="565">
        <f t="shared" si="57"/>
        <v>4</v>
      </c>
      <c r="J72" s="548">
        <v>2</v>
      </c>
      <c r="K72" s="688"/>
      <c r="L72" s="565">
        <f t="shared" si="58"/>
        <v>0</v>
      </c>
      <c r="M72" s="688"/>
      <c r="N72" s="565">
        <f t="shared" si="47"/>
        <v>2.6499999999999999E-2</v>
      </c>
      <c r="O72" s="565">
        <f t="shared" si="59"/>
        <v>0</v>
      </c>
      <c r="P72" s="688"/>
      <c r="Q72" s="565">
        <f t="shared" si="53"/>
        <v>0</v>
      </c>
      <c r="R72" s="565"/>
      <c r="S72" s="566"/>
      <c r="T72" s="685">
        <f t="shared" si="48"/>
        <v>0</v>
      </c>
      <c r="U72" s="685">
        <f t="shared" si="54"/>
        <v>0</v>
      </c>
      <c r="V72" s="685">
        <f t="shared" si="55"/>
        <v>0</v>
      </c>
      <c r="W72" s="684">
        <f t="shared" si="56"/>
        <v>2.6499999999999999E-2</v>
      </c>
      <c r="X72" s="682">
        <f t="shared" si="49"/>
        <v>0</v>
      </c>
      <c r="Y72" s="552"/>
      <c r="Z72" s="552"/>
      <c r="AA72" s="150"/>
    </row>
    <row r="73" spans="1:27" x14ac:dyDescent="0.25">
      <c r="A73" s="567" t="s">
        <v>258</v>
      </c>
      <c r="B73" s="566">
        <f>SUM(B61:B72)</f>
        <v>0</v>
      </c>
      <c r="C73" s="565"/>
      <c r="D73" s="566">
        <f>SUM(D61:D72)</f>
        <v>0</v>
      </c>
      <c r="E73" s="565"/>
      <c r="F73" s="566">
        <f>SUM(F61:F72)</f>
        <v>0</v>
      </c>
      <c r="G73" s="565"/>
      <c r="H73" s="566">
        <f>SUM(H61:H72)</f>
        <v>0</v>
      </c>
      <c r="I73" s="565"/>
      <c r="J73" s="566">
        <f>SUM(J61:J72)</f>
        <v>4</v>
      </c>
      <c r="K73" s="566">
        <f>SUM(K61:K72)</f>
        <v>0</v>
      </c>
      <c r="L73" s="565"/>
      <c r="M73" s="566">
        <f>SUM(M61:M72)</f>
        <v>0</v>
      </c>
      <c r="N73" s="566">
        <f>SUM(N61:N72)</f>
        <v>3.9750000000000001E-2</v>
      </c>
      <c r="O73" s="565"/>
      <c r="P73" s="566">
        <f>SUM(P61:P72)</f>
        <v>0</v>
      </c>
      <c r="Q73" s="566">
        <f>SUM(Q61:Q72)</f>
        <v>0</v>
      </c>
      <c r="R73" s="566"/>
      <c r="S73" s="566">
        <f>N73+Q73</f>
        <v>3.9750000000000001E-2</v>
      </c>
      <c r="T73" s="566">
        <f>SUM(T61:T72)</f>
        <v>0</v>
      </c>
      <c r="U73" s="566">
        <f>SUM(U61:U72)</f>
        <v>0</v>
      </c>
      <c r="V73" s="566">
        <f>SUM(V61:V72)</f>
        <v>0</v>
      </c>
      <c r="W73" s="566">
        <f>SUM(W61:W72)</f>
        <v>3.9750000000000001E-2</v>
      </c>
      <c r="X73" s="566">
        <f>SUM(X61:X72)</f>
        <v>0</v>
      </c>
      <c r="Y73" s="552"/>
      <c r="Z73" s="552"/>
      <c r="AA73" s="150"/>
    </row>
    <row r="74" spans="1:27" x14ac:dyDescent="0.25">
      <c r="A74" s="106">
        <f>'Oper.St.'!G11</f>
        <v>2024</v>
      </c>
      <c r="B74" s="1011">
        <f>A74</f>
        <v>2024</v>
      </c>
      <c r="C74" s="1011">
        <f>B74</f>
        <v>2024</v>
      </c>
      <c r="D74" s="1011">
        <f t="shared" ref="D74:X74" si="60">C74</f>
        <v>2024</v>
      </c>
      <c r="E74" s="1011">
        <f t="shared" si="60"/>
        <v>2024</v>
      </c>
      <c r="F74" s="1011">
        <f t="shared" si="60"/>
        <v>2024</v>
      </c>
      <c r="G74" s="1011">
        <f t="shared" si="60"/>
        <v>2024</v>
      </c>
      <c r="H74" s="1011">
        <f t="shared" si="60"/>
        <v>2024</v>
      </c>
      <c r="I74" s="1011">
        <f t="shared" si="60"/>
        <v>2024</v>
      </c>
      <c r="J74" s="1011"/>
      <c r="K74" s="1011">
        <f>I74</f>
        <v>2024</v>
      </c>
      <c r="L74" s="1011">
        <f t="shared" si="60"/>
        <v>2024</v>
      </c>
      <c r="M74" s="1011">
        <f t="shared" si="60"/>
        <v>2024</v>
      </c>
      <c r="N74" s="1011">
        <f t="shared" si="60"/>
        <v>2024</v>
      </c>
      <c r="O74" s="1011">
        <f t="shared" si="60"/>
        <v>2024</v>
      </c>
      <c r="P74" s="1011">
        <f t="shared" si="60"/>
        <v>2024</v>
      </c>
      <c r="Q74" s="1011">
        <f>O74</f>
        <v>2024</v>
      </c>
      <c r="R74" s="1011">
        <f t="shared" si="60"/>
        <v>2024</v>
      </c>
      <c r="S74" s="1011">
        <f t="shared" si="60"/>
        <v>2024</v>
      </c>
      <c r="T74" s="1011">
        <f t="shared" si="60"/>
        <v>2024</v>
      </c>
      <c r="U74" s="1011">
        <f t="shared" si="60"/>
        <v>2024</v>
      </c>
      <c r="V74" s="1011">
        <f t="shared" si="60"/>
        <v>2024</v>
      </c>
      <c r="W74" s="1011">
        <f t="shared" si="60"/>
        <v>2024</v>
      </c>
      <c r="X74" s="1011">
        <f t="shared" si="60"/>
        <v>2024</v>
      </c>
      <c r="Y74" s="552"/>
      <c r="Z74" s="552"/>
      <c r="AA74" s="150"/>
    </row>
    <row r="75" spans="1:27" x14ac:dyDescent="0.25">
      <c r="A75" s="95" t="s">
        <v>472</v>
      </c>
      <c r="B75" s="159"/>
      <c r="C75" s="565">
        <f>C72-B72</f>
        <v>0</v>
      </c>
      <c r="D75" s="159"/>
      <c r="E75" s="565">
        <f>E72-D72</f>
        <v>0</v>
      </c>
      <c r="F75" s="159"/>
      <c r="G75" s="565">
        <f>G72-F72</f>
        <v>0</v>
      </c>
      <c r="H75" s="548"/>
      <c r="I75" s="565">
        <f>I72-H72+J75</f>
        <v>6</v>
      </c>
      <c r="J75" s="548">
        <v>2</v>
      </c>
      <c r="K75" s="688"/>
      <c r="L75" s="565">
        <f>L72-K72+M75</f>
        <v>0</v>
      </c>
      <c r="M75" s="688"/>
      <c r="N75" s="565">
        <f t="shared" ref="N75:N86" si="61">T75+U75+V75+W75+X75</f>
        <v>3.9750000000000001E-2</v>
      </c>
      <c r="O75" s="565">
        <f>O72+P75</f>
        <v>0</v>
      </c>
      <c r="P75" s="688"/>
      <c r="Q75" s="565">
        <f>O75*$Q$16/100/12*$R$16/100</f>
        <v>0</v>
      </c>
      <c r="R75" s="565"/>
      <c r="S75" s="566"/>
      <c r="T75" s="685">
        <f t="shared" ref="T75:T86" si="62">C75*$C$17/100/12</f>
        <v>0</v>
      </c>
      <c r="U75" s="685">
        <f>E75*$E$17/100/12</f>
        <v>0</v>
      </c>
      <c r="V75" s="685">
        <f>G75*$G$17/100/12</f>
        <v>0</v>
      </c>
      <c r="W75" s="684">
        <f>I75*$I$17/100/12</f>
        <v>3.9750000000000001E-2</v>
      </c>
      <c r="X75" s="682">
        <f t="shared" ref="X75:X86" si="63">L75*$L$17/100/12</f>
        <v>0</v>
      </c>
      <c r="Y75" s="552"/>
      <c r="Z75" s="552"/>
      <c r="AA75" s="150"/>
    </row>
    <row r="76" spans="1:27" x14ac:dyDescent="0.25">
      <c r="A76" s="95" t="s">
        <v>473</v>
      </c>
      <c r="B76" s="159"/>
      <c r="C76" s="565">
        <f t="shared" ref="C76:C86" si="64">C75-B75</f>
        <v>0</v>
      </c>
      <c r="D76" s="159"/>
      <c r="E76" s="565">
        <f t="shared" ref="E76:E86" si="65">E75-D75</f>
        <v>0</v>
      </c>
      <c r="F76" s="159"/>
      <c r="G76" s="565">
        <f t="shared" ref="G76:G86" si="66">G75-F75</f>
        <v>0</v>
      </c>
      <c r="H76" s="548"/>
      <c r="I76" s="565">
        <f>I75-H75+J76</f>
        <v>8</v>
      </c>
      <c r="J76" s="548">
        <v>2</v>
      </c>
      <c r="K76" s="688"/>
      <c r="L76" s="565">
        <f>L75-K75+M76</f>
        <v>0</v>
      </c>
      <c r="M76" s="688"/>
      <c r="N76" s="565">
        <f t="shared" si="61"/>
        <v>5.2999999999999999E-2</v>
      </c>
      <c r="O76" s="565">
        <f>O75+P76</f>
        <v>0</v>
      </c>
      <c r="P76" s="688"/>
      <c r="Q76" s="565">
        <f t="shared" ref="Q76:Q86" si="67">O76*$Q$16/100/12*$R$16/100</f>
        <v>0</v>
      </c>
      <c r="R76" s="565"/>
      <c r="S76" s="566"/>
      <c r="T76" s="685">
        <f t="shared" si="62"/>
        <v>0</v>
      </c>
      <c r="U76" s="685">
        <f t="shared" ref="U76:U86" si="68">E76*$E$17/100/12</f>
        <v>0</v>
      </c>
      <c r="V76" s="685">
        <f t="shared" ref="V76:V86" si="69">G76*$G$17/100/12</f>
        <v>0</v>
      </c>
      <c r="W76" s="684">
        <f t="shared" ref="W76:W86" si="70">I76*$I$17/100/12</f>
        <v>5.2999999999999999E-2</v>
      </c>
      <c r="X76" s="682">
        <f t="shared" si="63"/>
        <v>0</v>
      </c>
      <c r="Y76" s="552"/>
      <c r="Z76" s="552"/>
      <c r="AA76" s="150"/>
    </row>
    <row r="77" spans="1:27" x14ac:dyDescent="0.25">
      <c r="A77" s="95" t="s">
        <v>474</v>
      </c>
      <c r="B77" s="159"/>
      <c r="C77" s="565">
        <f t="shared" si="64"/>
        <v>0</v>
      </c>
      <c r="D77" s="159"/>
      <c r="E77" s="565">
        <f t="shared" si="65"/>
        <v>0</v>
      </c>
      <c r="F77" s="159"/>
      <c r="G77" s="565">
        <f t="shared" si="66"/>
        <v>0</v>
      </c>
      <c r="H77" s="548"/>
      <c r="I77" s="565">
        <f t="shared" ref="I77:I86" si="71">I76-H76+J77</f>
        <v>10</v>
      </c>
      <c r="J77" s="548">
        <v>2</v>
      </c>
      <c r="K77" s="688"/>
      <c r="L77" s="565">
        <f t="shared" ref="L77:L86" si="72">L76-K76+M77</f>
        <v>0</v>
      </c>
      <c r="M77" s="688"/>
      <c r="N77" s="565">
        <f t="shared" si="61"/>
        <v>6.6250000000000003E-2</v>
      </c>
      <c r="O77" s="565">
        <f t="shared" ref="O77:O86" si="73">O76+P77</f>
        <v>0</v>
      </c>
      <c r="P77" s="688"/>
      <c r="Q77" s="565">
        <f t="shared" si="67"/>
        <v>0</v>
      </c>
      <c r="R77" s="565"/>
      <c r="S77" s="566"/>
      <c r="T77" s="685">
        <f t="shared" si="62"/>
        <v>0</v>
      </c>
      <c r="U77" s="685">
        <f t="shared" si="68"/>
        <v>0</v>
      </c>
      <c r="V77" s="685">
        <f t="shared" si="69"/>
        <v>0</v>
      </c>
      <c r="W77" s="684">
        <f t="shared" si="70"/>
        <v>6.6250000000000003E-2</v>
      </c>
      <c r="X77" s="682">
        <f t="shared" si="63"/>
        <v>0</v>
      </c>
      <c r="Y77" s="552"/>
      <c r="Z77" s="552"/>
      <c r="AA77" s="150"/>
    </row>
    <row r="78" spans="1:27" s="94" customFormat="1" x14ac:dyDescent="0.25">
      <c r="A78" s="95" t="s">
        <v>475</v>
      </c>
      <c r="B78" s="159"/>
      <c r="C78" s="565">
        <f t="shared" si="64"/>
        <v>0</v>
      </c>
      <c r="D78" s="159"/>
      <c r="E78" s="565">
        <f t="shared" si="65"/>
        <v>0</v>
      </c>
      <c r="F78" s="159"/>
      <c r="G78" s="565">
        <f t="shared" si="66"/>
        <v>0</v>
      </c>
      <c r="H78" s="548"/>
      <c r="I78" s="565">
        <f t="shared" si="71"/>
        <v>12</v>
      </c>
      <c r="J78" s="548">
        <v>2</v>
      </c>
      <c r="K78" s="688"/>
      <c r="L78" s="565">
        <f t="shared" si="72"/>
        <v>0</v>
      </c>
      <c r="M78" s="688"/>
      <c r="N78" s="565">
        <f t="shared" si="61"/>
        <v>7.9500000000000001E-2</v>
      </c>
      <c r="O78" s="565">
        <f t="shared" si="73"/>
        <v>0</v>
      </c>
      <c r="P78" s="688"/>
      <c r="Q78" s="565">
        <f t="shared" si="67"/>
        <v>0</v>
      </c>
      <c r="R78" s="565"/>
      <c r="S78" s="566"/>
      <c r="T78" s="685">
        <f t="shared" si="62"/>
        <v>0</v>
      </c>
      <c r="U78" s="685">
        <f t="shared" si="68"/>
        <v>0</v>
      </c>
      <c r="V78" s="685">
        <f t="shared" si="69"/>
        <v>0</v>
      </c>
      <c r="W78" s="684">
        <f t="shared" si="70"/>
        <v>7.9500000000000001E-2</v>
      </c>
      <c r="X78" s="682">
        <f t="shared" si="63"/>
        <v>0</v>
      </c>
      <c r="Y78" s="552"/>
      <c r="Z78" s="552"/>
      <c r="AA78" s="151"/>
    </row>
    <row r="79" spans="1:27" x14ac:dyDescent="0.25">
      <c r="A79" s="95" t="s">
        <v>476</v>
      </c>
      <c r="B79" s="159"/>
      <c r="C79" s="565">
        <f t="shared" si="64"/>
        <v>0</v>
      </c>
      <c r="D79" s="159"/>
      <c r="E79" s="565">
        <f t="shared" si="65"/>
        <v>0</v>
      </c>
      <c r="F79" s="159"/>
      <c r="G79" s="565">
        <f t="shared" si="66"/>
        <v>0</v>
      </c>
      <c r="H79" s="548"/>
      <c r="I79" s="565">
        <f t="shared" si="71"/>
        <v>12</v>
      </c>
      <c r="J79" s="548"/>
      <c r="K79" s="688"/>
      <c r="L79" s="565">
        <f t="shared" si="72"/>
        <v>0</v>
      </c>
      <c r="M79" s="688"/>
      <c r="N79" s="565">
        <f t="shared" si="61"/>
        <v>7.9500000000000001E-2</v>
      </c>
      <c r="O79" s="565">
        <f t="shared" si="73"/>
        <v>0</v>
      </c>
      <c r="P79" s="688"/>
      <c r="Q79" s="565">
        <f t="shared" si="67"/>
        <v>0</v>
      </c>
      <c r="R79" s="565"/>
      <c r="S79" s="566"/>
      <c r="T79" s="685">
        <f t="shared" si="62"/>
        <v>0</v>
      </c>
      <c r="U79" s="685">
        <f t="shared" si="68"/>
        <v>0</v>
      </c>
      <c r="V79" s="685">
        <f t="shared" si="69"/>
        <v>0</v>
      </c>
      <c r="W79" s="684">
        <f t="shared" si="70"/>
        <v>7.9500000000000001E-2</v>
      </c>
      <c r="X79" s="682">
        <f t="shared" si="63"/>
        <v>0</v>
      </c>
      <c r="Y79" s="552"/>
      <c r="Z79" s="552"/>
      <c r="AA79" s="150"/>
    </row>
    <row r="80" spans="1:27" x14ac:dyDescent="0.25">
      <c r="A80" s="95" t="s">
        <v>477</v>
      </c>
      <c r="B80" s="159"/>
      <c r="C80" s="565">
        <f t="shared" si="64"/>
        <v>0</v>
      </c>
      <c r="D80" s="159"/>
      <c r="E80" s="565">
        <f t="shared" si="65"/>
        <v>0</v>
      </c>
      <c r="F80" s="159"/>
      <c r="G80" s="565">
        <f t="shared" si="66"/>
        <v>0</v>
      </c>
      <c r="H80" s="548"/>
      <c r="I80" s="565">
        <f t="shared" si="71"/>
        <v>12</v>
      </c>
      <c r="J80" s="548"/>
      <c r="K80" s="688"/>
      <c r="L80" s="565">
        <f t="shared" si="72"/>
        <v>0</v>
      </c>
      <c r="M80" s="688"/>
      <c r="N80" s="565">
        <f t="shared" si="61"/>
        <v>7.9500000000000001E-2</v>
      </c>
      <c r="O80" s="565">
        <f t="shared" si="73"/>
        <v>2</v>
      </c>
      <c r="P80" s="688">
        <v>2</v>
      </c>
      <c r="Q80" s="565">
        <f t="shared" si="67"/>
        <v>1.325E-2</v>
      </c>
      <c r="R80" s="565"/>
      <c r="S80" s="566"/>
      <c r="T80" s="685">
        <f t="shared" si="62"/>
        <v>0</v>
      </c>
      <c r="U80" s="685">
        <f t="shared" si="68"/>
        <v>0</v>
      </c>
      <c r="V80" s="685">
        <f t="shared" si="69"/>
        <v>0</v>
      </c>
      <c r="W80" s="684">
        <f t="shared" si="70"/>
        <v>7.9500000000000001E-2</v>
      </c>
      <c r="X80" s="682">
        <f t="shared" si="63"/>
        <v>0</v>
      </c>
      <c r="Y80" s="552"/>
      <c r="Z80" s="552"/>
      <c r="AA80" s="150"/>
    </row>
    <row r="81" spans="1:27" x14ac:dyDescent="0.25">
      <c r="A81" s="95" t="s">
        <v>478</v>
      </c>
      <c r="B81" s="159"/>
      <c r="C81" s="565">
        <f t="shared" si="64"/>
        <v>0</v>
      </c>
      <c r="D81" s="159"/>
      <c r="E81" s="565">
        <f t="shared" si="65"/>
        <v>0</v>
      </c>
      <c r="F81" s="159"/>
      <c r="G81" s="565">
        <f t="shared" si="66"/>
        <v>0</v>
      </c>
      <c r="H81" s="548"/>
      <c r="I81" s="565">
        <f t="shared" si="71"/>
        <v>12</v>
      </c>
      <c r="J81" s="548"/>
      <c r="K81" s="688"/>
      <c r="L81" s="565">
        <f t="shared" si="72"/>
        <v>0</v>
      </c>
      <c r="M81" s="688"/>
      <c r="N81" s="565">
        <f t="shared" si="61"/>
        <v>7.9500000000000001E-2</v>
      </c>
      <c r="O81" s="565">
        <f t="shared" si="73"/>
        <v>2</v>
      </c>
      <c r="P81" s="688"/>
      <c r="Q81" s="565">
        <f t="shared" si="67"/>
        <v>1.325E-2</v>
      </c>
      <c r="R81" s="565"/>
      <c r="S81" s="566"/>
      <c r="T81" s="685">
        <f t="shared" si="62"/>
        <v>0</v>
      </c>
      <c r="U81" s="685">
        <f t="shared" si="68"/>
        <v>0</v>
      </c>
      <c r="V81" s="685">
        <f t="shared" si="69"/>
        <v>0</v>
      </c>
      <c r="W81" s="684">
        <f t="shared" si="70"/>
        <v>7.9500000000000001E-2</v>
      </c>
      <c r="X81" s="682">
        <f t="shared" si="63"/>
        <v>0</v>
      </c>
      <c r="Y81" s="552"/>
      <c r="Z81" s="552"/>
      <c r="AA81" s="150"/>
    </row>
    <row r="82" spans="1:27" x14ac:dyDescent="0.25">
      <c r="A82" s="95" t="s">
        <v>479</v>
      </c>
      <c r="B82" s="159"/>
      <c r="C82" s="565">
        <f t="shared" si="64"/>
        <v>0</v>
      </c>
      <c r="D82" s="159"/>
      <c r="E82" s="565">
        <f t="shared" si="65"/>
        <v>0</v>
      </c>
      <c r="F82" s="159"/>
      <c r="G82" s="565">
        <f t="shared" si="66"/>
        <v>0</v>
      </c>
      <c r="H82" s="548"/>
      <c r="I82" s="565">
        <f t="shared" si="71"/>
        <v>12</v>
      </c>
      <c r="J82" s="548"/>
      <c r="K82" s="688"/>
      <c r="L82" s="565">
        <f t="shared" si="72"/>
        <v>0</v>
      </c>
      <c r="M82" s="688"/>
      <c r="N82" s="565">
        <f t="shared" si="61"/>
        <v>7.9500000000000001E-2</v>
      </c>
      <c r="O82" s="565">
        <f t="shared" si="73"/>
        <v>2</v>
      </c>
      <c r="P82" s="688"/>
      <c r="Q82" s="565">
        <f t="shared" si="67"/>
        <v>1.325E-2</v>
      </c>
      <c r="R82" s="565"/>
      <c r="S82" s="566"/>
      <c r="T82" s="685">
        <f t="shared" si="62"/>
        <v>0</v>
      </c>
      <c r="U82" s="685">
        <f t="shared" si="68"/>
        <v>0</v>
      </c>
      <c r="V82" s="685">
        <f t="shared" si="69"/>
        <v>0</v>
      </c>
      <c r="W82" s="684">
        <f t="shared" si="70"/>
        <v>7.9500000000000001E-2</v>
      </c>
      <c r="X82" s="682">
        <f t="shared" si="63"/>
        <v>0</v>
      </c>
      <c r="Y82" s="552"/>
      <c r="Z82" s="552"/>
      <c r="AA82" s="150"/>
    </row>
    <row r="83" spans="1:27" x14ac:dyDescent="0.25">
      <c r="A83" s="95" t="s">
        <v>480</v>
      </c>
      <c r="B83" s="159"/>
      <c r="C83" s="565">
        <f t="shared" si="64"/>
        <v>0</v>
      </c>
      <c r="D83" s="159"/>
      <c r="E83" s="565">
        <f t="shared" si="65"/>
        <v>0</v>
      </c>
      <c r="F83" s="159"/>
      <c r="G83" s="565">
        <f t="shared" si="66"/>
        <v>0</v>
      </c>
      <c r="H83" s="548"/>
      <c r="I83" s="565">
        <f t="shared" si="71"/>
        <v>12</v>
      </c>
      <c r="J83" s="548"/>
      <c r="K83" s="688"/>
      <c r="L83" s="565">
        <f t="shared" si="72"/>
        <v>0</v>
      </c>
      <c r="M83" s="688"/>
      <c r="N83" s="565">
        <f t="shared" si="61"/>
        <v>7.9500000000000001E-2</v>
      </c>
      <c r="O83" s="565">
        <f t="shared" si="73"/>
        <v>2</v>
      </c>
      <c r="P83" s="688"/>
      <c r="Q83" s="565">
        <f t="shared" si="67"/>
        <v>1.325E-2</v>
      </c>
      <c r="R83" s="565"/>
      <c r="S83" s="566"/>
      <c r="T83" s="685">
        <f t="shared" si="62"/>
        <v>0</v>
      </c>
      <c r="U83" s="685">
        <f t="shared" si="68"/>
        <v>0</v>
      </c>
      <c r="V83" s="685">
        <f t="shared" si="69"/>
        <v>0</v>
      </c>
      <c r="W83" s="684">
        <f t="shared" si="70"/>
        <v>7.9500000000000001E-2</v>
      </c>
      <c r="X83" s="682">
        <f t="shared" si="63"/>
        <v>0</v>
      </c>
      <c r="Y83" s="552"/>
      <c r="Z83" s="552"/>
      <c r="AA83" s="150"/>
    </row>
    <row r="84" spans="1:27" x14ac:dyDescent="0.25">
      <c r="A84" s="95" t="s">
        <v>481</v>
      </c>
      <c r="B84" s="159"/>
      <c r="C84" s="565">
        <f t="shared" si="64"/>
        <v>0</v>
      </c>
      <c r="D84" s="159"/>
      <c r="E84" s="565">
        <f t="shared" si="65"/>
        <v>0</v>
      </c>
      <c r="F84" s="159"/>
      <c r="G84" s="565">
        <f t="shared" si="66"/>
        <v>0</v>
      </c>
      <c r="H84" s="548"/>
      <c r="I84" s="565">
        <f t="shared" si="71"/>
        <v>12</v>
      </c>
      <c r="J84" s="548"/>
      <c r="K84" s="688"/>
      <c r="L84" s="565">
        <f t="shared" si="72"/>
        <v>0</v>
      </c>
      <c r="M84" s="688"/>
      <c r="N84" s="565">
        <f t="shared" si="61"/>
        <v>7.9500000000000001E-2</v>
      </c>
      <c r="O84" s="565">
        <f t="shared" si="73"/>
        <v>2</v>
      </c>
      <c r="P84" s="688"/>
      <c r="Q84" s="565">
        <f t="shared" si="67"/>
        <v>1.325E-2</v>
      </c>
      <c r="R84" s="565"/>
      <c r="S84" s="566"/>
      <c r="T84" s="685">
        <f t="shared" si="62"/>
        <v>0</v>
      </c>
      <c r="U84" s="685">
        <f t="shared" si="68"/>
        <v>0</v>
      </c>
      <c r="V84" s="685">
        <f t="shared" si="69"/>
        <v>0</v>
      </c>
      <c r="W84" s="684">
        <f t="shared" si="70"/>
        <v>7.9500000000000001E-2</v>
      </c>
      <c r="X84" s="682">
        <f t="shared" si="63"/>
        <v>0</v>
      </c>
      <c r="Y84" s="552"/>
      <c r="Z84" s="552"/>
      <c r="AA84" s="150"/>
    </row>
    <row r="85" spans="1:27" x14ac:dyDescent="0.25">
      <c r="A85" s="95" t="s">
        <v>482</v>
      </c>
      <c r="B85" s="159"/>
      <c r="C85" s="565">
        <f t="shared" si="64"/>
        <v>0</v>
      </c>
      <c r="D85" s="159"/>
      <c r="E85" s="565">
        <f t="shared" si="65"/>
        <v>0</v>
      </c>
      <c r="F85" s="159"/>
      <c r="G85" s="565">
        <f t="shared" si="66"/>
        <v>0</v>
      </c>
      <c r="H85" s="548"/>
      <c r="I85" s="565">
        <f t="shared" si="71"/>
        <v>12</v>
      </c>
      <c r="J85" s="548"/>
      <c r="K85" s="688"/>
      <c r="L85" s="565">
        <f t="shared" si="72"/>
        <v>0</v>
      </c>
      <c r="M85" s="688"/>
      <c r="N85" s="565">
        <f t="shared" si="61"/>
        <v>7.9500000000000001E-2</v>
      </c>
      <c r="O85" s="565">
        <f t="shared" si="73"/>
        <v>2</v>
      </c>
      <c r="P85" s="688"/>
      <c r="Q85" s="565">
        <f t="shared" si="67"/>
        <v>1.325E-2</v>
      </c>
      <c r="R85" s="565"/>
      <c r="S85" s="566"/>
      <c r="T85" s="685">
        <f t="shared" si="62"/>
        <v>0</v>
      </c>
      <c r="U85" s="685">
        <f t="shared" si="68"/>
        <v>0</v>
      </c>
      <c r="V85" s="685">
        <f t="shared" si="69"/>
        <v>0</v>
      </c>
      <c r="W85" s="684">
        <f t="shared" si="70"/>
        <v>7.9500000000000001E-2</v>
      </c>
      <c r="X85" s="682">
        <f t="shared" si="63"/>
        <v>0</v>
      </c>
      <c r="Y85" s="552"/>
      <c r="Z85" s="552"/>
      <c r="AA85" s="150"/>
    </row>
    <row r="86" spans="1:27" x14ac:dyDescent="0.25">
      <c r="A86" s="95" t="s">
        <v>483</v>
      </c>
      <c r="B86" s="159"/>
      <c r="C86" s="565">
        <f t="shared" si="64"/>
        <v>0</v>
      </c>
      <c r="D86" s="159"/>
      <c r="E86" s="565">
        <f t="shared" si="65"/>
        <v>0</v>
      </c>
      <c r="F86" s="159"/>
      <c r="G86" s="565">
        <f t="shared" si="66"/>
        <v>0</v>
      </c>
      <c r="H86" s="548"/>
      <c r="I86" s="565">
        <f t="shared" si="71"/>
        <v>12</v>
      </c>
      <c r="J86" s="548"/>
      <c r="K86" s="688"/>
      <c r="L86" s="565">
        <f t="shared" si="72"/>
        <v>0</v>
      </c>
      <c r="M86" s="688"/>
      <c r="N86" s="565">
        <f t="shared" si="61"/>
        <v>7.9500000000000001E-2</v>
      </c>
      <c r="O86" s="565">
        <f t="shared" si="73"/>
        <v>2</v>
      </c>
      <c r="P86" s="688"/>
      <c r="Q86" s="565">
        <f t="shared" si="67"/>
        <v>1.325E-2</v>
      </c>
      <c r="R86" s="565"/>
      <c r="S86" s="566"/>
      <c r="T86" s="685">
        <f t="shared" si="62"/>
        <v>0</v>
      </c>
      <c r="U86" s="685">
        <f t="shared" si="68"/>
        <v>0</v>
      </c>
      <c r="V86" s="685">
        <f t="shared" si="69"/>
        <v>0</v>
      </c>
      <c r="W86" s="684">
        <f t="shared" si="70"/>
        <v>7.9500000000000001E-2</v>
      </c>
      <c r="X86" s="682">
        <f t="shared" si="63"/>
        <v>0</v>
      </c>
      <c r="Y86" s="552"/>
      <c r="Z86" s="552"/>
      <c r="AA86" s="150"/>
    </row>
    <row r="87" spans="1:27" x14ac:dyDescent="0.25">
      <c r="A87" s="567" t="s">
        <v>258</v>
      </c>
      <c r="B87" s="566">
        <f>SUM(B75:B86)</f>
        <v>0</v>
      </c>
      <c r="C87" s="565"/>
      <c r="D87" s="566">
        <f>SUM(D75:D86)</f>
        <v>0</v>
      </c>
      <c r="E87" s="565"/>
      <c r="F87" s="566">
        <f>SUM(F75:F86)</f>
        <v>0</v>
      </c>
      <c r="G87" s="565"/>
      <c r="H87" s="566">
        <f>SUM(H75:H86)</f>
        <v>0</v>
      </c>
      <c r="I87" s="565"/>
      <c r="J87" s="566">
        <f>SUM(J75:J86)</f>
        <v>8</v>
      </c>
      <c r="K87" s="566">
        <f>SUM(K75:K86)</f>
        <v>0</v>
      </c>
      <c r="L87" s="565"/>
      <c r="M87" s="566">
        <f>SUM(M75:M86)</f>
        <v>0</v>
      </c>
      <c r="N87" s="566">
        <f>SUM(N75:N86)</f>
        <v>0.87450000000000006</v>
      </c>
      <c r="O87" s="565"/>
      <c r="P87" s="566">
        <f>SUM(P75:P86)</f>
        <v>2</v>
      </c>
      <c r="Q87" s="566">
        <f>SUM(Q75:Q86)</f>
        <v>9.2749999999999999E-2</v>
      </c>
      <c r="R87" s="566"/>
      <c r="S87" s="566">
        <f>N87+Q87</f>
        <v>0.96725000000000005</v>
      </c>
      <c r="T87" s="566">
        <f>SUM(T75:T86)</f>
        <v>0</v>
      </c>
      <c r="U87" s="566">
        <f>SUM(U75:U86)</f>
        <v>0</v>
      </c>
      <c r="V87" s="566">
        <f>SUM(V75:V86)</f>
        <v>0</v>
      </c>
      <c r="W87" s="566">
        <f>SUM(W75:W86)</f>
        <v>0.87450000000000006</v>
      </c>
      <c r="X87" s="566">
        <f>SUM(X75:X86)</f>
        <v>0</v>
      </c>
      <c r="Y87" s="552"/>
      <c r="Z87" s="552"/>
      <c r="AA87" s="150"/>
    </row>
    <row r="88" spans="1:27" x14ac:dyDescent="0.25">
      <c r="A88" s="106">
        <f>'Oper.St.'!H11</f>
        <v>2025</v>
      </c>
      <c r="B88" s="1011">
        <f>A88</f>
        <v>2025</v>
      </c>
      <c r="C88" s="1011">
        <f>B88</f>
        <v>2025</v>
      </c>
      <c r="D88" s="1011">
        <f t="shared" ref="D88:X88" si="74">C88</f>
        <v>2025</v>
      </c>
      <c r="E88" s="1011">
        <f t="shared" si="74"/>
        <v>2025</v>
      </c>
      <c r="F88" s="1011">
        <f t="shared" si="74"/>
        <v>2025</v>
      </c>
      <c r="G88" s="1011">
        <f t="shared" si="74"/>
        <v>2025</v>
      </c>
      <c r="H88" s="1011">
        <f t="shared" si="74"/>
        <v>2025</v>
      </c>
      <c r="I88" s="1011">
        <f t="shared" si="74"/>
        <v>2025</v>
      </c>
      <c r="J88" s="1011"/>
      <c r="K88" s="1011">
        <f>I88</f>
        <v>2025</v>
      </c>
      <c r="L88" s="1011">
        <f t="shared" si="74"/>
        <v>2025</v>
      </c>
      <c r="M88" s="1011">
        <f t="shared" si="74"/>
        <v>2025</v>
      </c>
      <c r="N88" s="1011">
        <f t="shared" si="74"/>
        <v>2025</v>
      </c>
      <c r="O88" s="1011">
        <f t="shared" si="74"/>
        <v>2025</v>
      </c>
      <c r="P88" s="1011">
        <f t="shared" si="74"/>
        <v>2025</v>
      </c>
      <c r="Q88" s="1011">
        <f>O88</f>
        <v>2025</v>
      </c>
      <c r="R88" s="1011">
        <f t="shared" si="74"/>
        <v>2025</v>
      </c>
      <c r="S88" s="1011">
        <f t="shared" si="74"/>
        <v>2025</v>
      </c>
      <c r="T88" s="1011">
        <f t="shared" si="74"/>
        <v>2025</v>
      </c>
      <c r="U88" s="1011">
        <f t="shared" si="74"/>
        <v>2025</v>
      </c>
      <c r="V88" s="1011">
        <f t="shared" si="74"/>
        <v>2025</v>
      </c>
      <c r="W88" s="1011">
        <f t="shared" si="74"/>
        <v>2025</v>
      </c>
      <c r="X88" s="1011">
        <f t="shared" si="74"/>
        <v>2025</v>
      </c>
      <c r="Y88" s="552"/>
      <c r="Z88" s="552"/>
      <c r="AA88" s="150"/>
    </row>
    <row r="89" spans="1:27" x14ac:dyDescent="0.25">
      <c r="A89" s="95" t="s">
        <v>472</v>
      </c>
      <c r="B89" s="159"/>
      <c r="C89" s="565">
        <f>C86-B86</f>
        <v>0</v>
      </c>
      <c r="D89" s="159"/>
      <c r="E89" s="565">
        <f>E86-D86</f>
        <v>0</v>
      </c>
      <c r="F89" s="159"/>
      <c r="G89" s="565">
        <f>G86-F86</f>
        <v>0</v>
      </c>
      <c r="H89" s="548">
        <v>0.1</v>
      </c>
      <c r="I89" s="565">
        <f>I86-H86+J89</f>
        <v>12</v>
      </c>
      <c r="J89" s="548"/>
      <c r="K89" s="688"/>
      <c r="L89" s="565">
        <f>L86-K86+M89</f>
        <v>0</v>
      </c>
      <c r="M89" s="688"/>
      <c r="N89" s="565">
        <f t="shared" ref="N89:N100" si="75">T89+U89+V89+W89+X89</f>
        <v>7.9500000000000001E-2</v>
      </c>
      <c r="O89" s="565">
        <f>O86+P89</f>
        <v>2</v>
      </c>
      <c r="P89" s="688"/>
      <c r="Q89" s="565">
        <f>O89*$Q$16/100/12*$R$16/100</f>
        <v>1.325E-2</v>
      </c>
      <c r="R89" s="565"/>
      <c r="S89" s="566"/>
      <c r="T89" s="685">
        <f t="shared" ref="T89:T100" si="76">C89*$C$17/100/12</f>
        <v>0</v>
      </c>
      <c r="U89" s="685">
        <f>E89*$E$17/100/12</f>
        <v>0</v>
      </c>
      <c r="V89" s="685">
        <f>G89*$G$17/100/12</f>
        <v>0</v>
      </c>
      <c r="W89" s="684">
        <f>I89*$I$17/100/12</f>
        <v>7.9500000000000001E-2</v>
      </c>
      <c r="X89" s="682">
        <f t="shared" ref="X89:X100" si="77">L89*$L$17/100/12</f>
        <v>0</v>
      </c>
      <c r="Y89" s="552"/>
      <c r="Z89" s="552"/>
      <c r="AA89" s="150"/>
    </row>
    <row r="90" spans="1:27" x14ac:dyDescent="0.25">
      <c r="A90" s="95" t="s">
        <v>473</v>
      </c>
      <c r="B90" s="159"/>
      <c r="C90" s="565">
        <f t="shared" ref="C90:C100" si="78">C89-B89</f>
        <v>0</v>
      </c>
      <c r="D90" s="159"/>
      <c r="E90" s="565">
        <f t="shared" ref="E90:E100" si="79">E89-D89</f>
        <v>0</v>
      </c>
      <c r="F90" s="159"/>
      <c r="G90" s="565">
        <f t="shared" ref="G90:G100" si="80">G89-F89</f>
        <v>0</v>
      </c>
      <c r="H90" s="548">
        <v>0.1</v>
      </c>
      <c r="I90" s="565">
        <f>I89-H89+J90</f>
        <v>11.9</v>
      </c>
      <c r="J90" s="548"/>
      <c r="K90" s="688"/>
      <c r="L90" s="565">
        <f>L89-K89+M90</f>
        <v>0</v>
      </c>
      <c r="M90" s="688"/>
      <c r="N90" s="565">
        <f t="shared" si="75"/>
        <v>7.8837500000000005E-2</v>
      </c>
      <c r="O90" s="565">
        <f>O89+P90</f>
        <v>2</v>
      </c>
      <c r="P90" s="688"/>
      <c r="Q90" s="565">
        <f t="shared" ref="Q90:Q100" si="81">O90*$Q$16/100/12*$R$16/100</f>
        <v>1.325E-2</v>
      </c>
      <c r="R90" s="565"/>
      <c r="S90" s="566"/>
      <c r="T90" s="685">
        <f t="shared" si="76"/>
        <v>0</v>
      </c>
      <c r="U90" s="685">
        <f t="shared" ref="U90:U100" si="82">E90*$E$17/100/12</f>
        <v>0</v>
      </c>
      <c r="V90" s="685">
        <f t="shared" ref="V90:V100" si="83">G90*$G$17/100/12</f>
        <v>0</v>
      </c>
      <c r="W90" s="684">
        <f t="shared" ref="W90:W100" si="84">I90*$I$17/100/12</f>
        <v>7.8837500000000005E-2</v>
      </c>
      <c r="X90" s="682">
        <f t="shared" si="77"/>
        <v>0</v>
      </c>
      <c r="Y90" s="552"/>
      <c r="Z90" s="552"/>
      <c r="AA90" s="150"/>
    </row>
    <row r="91" spans="1:27" x14ac:dyDescent="0.25">
      <c r="A91" s="95" t="s">
        <v>474</v>
      </c>
      <c r="B91" s="159"/>
      <c r="C91" s="565">
        <f t="shared" si="78"/>
        <v>0</v>
      </c>
      <c r="D91" s="159"/>
      <c r="E91" s="565">
        <f t="shared" si="79"/>
        <v>0</v>
      </c>
      <c r="F91" s="159"/>
      <c r="G91" s="565">
        <f t="shared" si="80"/>
        <v>0</v>
      </c>
      <c r="H91" s="548">
        <v>0.1</v>
      </c>
      <c r="I91" s="565">
        <f t="shared" ref="I91:I100" si="85">I90-H90+J91</f>
        <v>11.8</v>
      </c>
      <c r="J91" s="548"/>
      <c r="K91" s="688"/>
      <c r="L91" s="565">
        <f t="shared" ref="L91:L100" si="86">L90-K90+M91</f>
        <v>0</v>
      </c>
      <c r="M91" s="688"/>
      <c r="N91" s="565">
        <f t="shared" si="75"/>
        <v>7.8175000000000008E-2</v>
      </c>
      <c r="O91" s="565">
        <f t="shared" ref="O91:O100" si="87">O90+P91</f>
        <v>2</v>
      </c>
      <c r="P91" s="688"/>
      <c r="Q91" s="565">
        <f t="shared" si="81"/>
        <v>1.325E-2</v>
      </c>
      <c r="R91" s="565"/>
      <c r="S91" s="566"/>
      <c r="T91" s="685">
        <f t="shared" si="76"/>
        <v>0</v>
      </c>
      <c r="U91" s="685">
        <f t="shared" si="82"/>
        <v>0</v>
      </c>
      <c r="V91" s="685">
        <f t="shared" si="83"/>
        <v>0</v>
      </c>
      <c r="W91" s="684">
        <f t="shared" si="84"/>
        <v>7.8175000000000008E-2</v>
      </c>
      <c r="X91" s="682">
        <f t="shared" si="77"/>
        <v>0</v>
      </c>
      <c r="Y91" s="552"/>
      <c r="Z91" s="552"/>
      <c r="AA91" s="150"/>
    </row>
    <row r="92" spans="1:27" x14ac:dyDescent="0.25">
      <c r="A92" s="95" t="s">
        <v>475</v>
      </c>
      <c r="B92" s="159"/>
      <c r="C92" s="565">
        <f t="shared" si="78"/>
        <v>0</v>
      </c>
      <c r="D92" s="159"/>
      <c r="E92" s="565">
        <f t="shared" si="79"/>
        <v>0</v>
      </c>
      <c r="F92" s="159"/>
      <c r="G92" s="565">
        <f t="shared" si="80"/>
        <v>0</v>
      </c>
      <c r="H92" s="548">
        <v>0.1</v>
      </c>
      <c r="I92" s="565">
        <f t="shared" si="85"/>
        <v>11.700000000000001</v>
      </c>
      <c r="J92" s="548"/>
      <c r="K92" s="688"/>
      <c r="L92" s="565">
        <f t="shared" si="86"/>
        <v>0</v>
      </c>
      <c r="M92" s="688"/>
      <c r="N92" s="565">
        <f t="shared" si="75"/>
        <v>7.7512500000000012E-2</v>
      </c>
      <c r="O92" s="565">
        <f t="shared" si="87"/>
        <v>2</v>
      </c>
      <c r="P92" s="688"/>
      <c r="Q92" s="565">
        <f t="shared" si="81"/>
        <v>1.325E-2</v>
      </c>
      <c r="R92" s="565"/>
      <c r="S92" s="566"/>
      <c r="T92" s="685">
        <f t="shared" si="76"/>
        <v>0</v>
      </c>
      <c r="U92" s="685">
        <f t="shared" si="82"/>
        <v>0</v>
      </c>
      <c r="V92" s="685">
        <f t="shared" si="83"/>
        <v>0</v>
      </c>
      <c r="W92" s="684">
        <f t="shared" si="84"/>
        <v>7.7512500000000012E-2</v>
      </c>
      <c r="X92" s="682">
        <f t="shared" si="77"/>
        <v>0</v>
      </c>
      <c r="Y92" s="552"/>
      <c r="Z92" s="552"/>
      <c r="AA92" s="150"/>
    </row>
    <row r="93" spans="1:27" s="94" customFormat="1" x14ac:dyDescent="0.25">
      <c r="A93" s="95" t="s">
        <v>476</v>
      </c>
      <c r="B93" s="159"/>
      <c r="C93" s="565">
        <f t="shared" si="78"/>
        <v>0</v>
      </c>
      <c r="D93" s="159"/>
      <c r="E93" s="565">
        <f t="shared" si="79"/>
        <v>0</v>
      </c>
      <c r="F93" s="159"/>
      <c r="G93" s="565">
        <f t="shared" si="80"/>
        <v>0</v>
      </c>
      <c r="H93" s="548">
        <v>0.1</v>
      </c>
      <c r="I93" s="565">
        <f t="shared" si="85"/>
        <v>11.600000000000001</v>
      </c>
      <c r="J93" s="548"/>
      <c r="K93" s="688"/>
      <c r="L93" s="565">
        <f t="shared" si="86"/>
        <v>0</v>
      </c>
      <c r="M93" s="688"/>
      <c r="N93" s="565">
        <f t="shared" si="75"/>
        <v>7.6850000000000016E-2</v>
      </c>
      <c r="O93" s="565">
        <f t="shared" si="87"/>
        <v>2</v>
      </c>
      <c r="P93" s="688"/>
      <c r="Q93" s="565">
        <f t="shared" si="81"/>
        <v>1.325E-2</v>
      </c>
      <c r="R93" s="565"/>
      <c r="S93" s="566"/>
      <c r="T93" s="685">
        <f t="shared" si="76"/>
        <v>0</v>
      </c>
      <c r="U93" s="685">
        <f t="shared" si="82"/>
        <v>0</v>
      </c>
      <c r="V93" s="685">
        <f t="shared" si="83"/>
        <v>0</v>
      </c>
      <c r="W93" s="684">
        <f t="shared" si="84"/>
        <v>7.6850000000000016E-2</v>
      </c>
      <c r="X93" s="682">
        <f t="shared" si="77"/>
        <v>0</v>
      </c>
      <c r="Y93" s="552"/>
      <c r="Z93" s="552"/>
      <c r="AA93" s="151"/>
    </row>
    <row r="94" spans="1:27" x14ac:dyDescent="0.25">
      <c r="A94" s="95" t="s">
        <v>477</v>
      </c>
      <c r="B94" s="159"/>
      <c r="C94" s="565">
        <f t="shared" si="78"/>
        <v>0</v>
      </c>
      <c r="D94" s="159"/>
      <c r="E94" s="565">
        <f t="shared" si="79"/>
        <v>0</v>
      </c>
      <c r="F94" s="159"/>
      <c r="G94" s="565">
        <f t="shared" si="80"/>
        <v>0</v>
      </c>
      <c r="H94" s="548">
        <v>0.1</v>
      </c>
      <c r="I94" s="565">
        <f t="shared" si="85"/>
        <v>11.500000000000002</v>
      </c>
      <c r="J94" s="548"/>
      <c r="K94" s="688"/>
      <c r="L94" s="565">
        <f t="shared" si="86"/>
        <v>0</v>
      </c>
      <c r="M94" s="688"/>
      <c r="N94" s="565">
        <f t="shared" si="75"/>
        <v>7.6187500000000005E-2</v>
      </c>
      <c r="O94" s="565">
        <f t="shared" si="87"/>
        <v>2</v>
      </c>
      <c r="P94" s="688"/>
      <c r="Q94" s="565">
        <f t="shared" si="81"/>
        <v>1.325E-2</v>
      </c>
      <c r="R94" s="565"/>
      <c r="S94" s="566"/>
      <c r="T94" s="685">
        <f t="shared" si="76"/>
        <v>0</v>
      </c>
      <c r="U94" s="685">
        <f t="shared" si="82"/>
        <v>0</v>
      </c>
      <c r="V94" s="685">
        <f t="shared" si="83"/>
        <v>0</v>
      </c>
      <c r="W94" s="684">
        <f t="shared" si="84"/>
        <v>7.6187500000000005E-2</v>
      </c>
      <c r="X94" s="682">
        <f t="shared" si="77"/>
        <v>0</v>
      </c>
      <c r="Y94" s="552"/>
      <c r="Z94" s="552"/>
      <c r="AA94" s="150"/>
    </row>
    <row r="95" spans="1:27" x14ac:dyDescent="0.25">
      <c r="A95" s="95" t="s">
        <v>478</v>
      </c>
      <c r="B95" s="159"/>
      <c r="C95" s="565">
        <f t="shared" si="78"/>
        <v>0</v>
      </c>
      <c r="D95" s="159"/>
      <c r="E95" s="565">
        <f t="shared" si="79"/>
        <v>0</v>
      </c>
      <c r="F95" s="159"/>
      <c r="G95" s="565">
        <f t="shared" si="80"/>
        <v>0</v>
      </c>
      <c r="H95" s="548">
        <v>0.1</v>
      </c>
      <c r="I95" s="565">
        <f t="shared" si="85"/>
        <v>11.400000000000002</v>
      </c>
      <c r="J95" s="548"/>
      <c r="K95" s="688"/>
      <c r="L95" s="565">
        <f t="shared" si="86"/>
        <v>0</v>
      </c>
      <c r="M95" s="688"/>
      <c r="N95" s="565">
        <f t="shared" si="75"/>
        <v>7.5525000000000023E-2</v>
      </c>
      <c r="O95" s="565">
        <f t="shared" si="87"/>
        <v>2</v>
      </c>
      <c r="P95" s="688"/>
      <c r="Q95" s="565">
        <f t="shared" si="81"/>
        <v>1.325E-2</v>
      </c>
      <c r="R95" s="565"/>
      <c r="S95" s="566"/>
      <c r="T95" s="685">
        <f t="shared" si="76"/>
        <v>0</v>
      </c>
      <c r="U95" s="685">
        <f t="shared" si="82"/>
        <v>0</v>
      </c>
      <c r="V95" s="685">
        <f t="shared" si="83"/>
        <v>0</v>
      </c>
      <c r="W95" s="684">
        <f t="shared" si="84"/>
        <v>7.5525000000000023E-2</v>
      </c>
      <c r="X95" s="682">
        <f t="shared" si="77"/>
        <v>0</v>
      </c>
      <c r="Y95" s="552"/>
      <c r="Z95" s="552"/>
      <c r="AA95" s="150"/>
    </row>
    <row r="96" spans="1:27" x14ac:dyDescent="0.25">
      <c r="A96" s="95" t="s">
        <v>479</v>
      </c>
      <c r="B96" s="159"/>
      <c r="C96" s="565">
        <f t="shared" si="78"/>
        <v>0</v>
      </c>
      <c r="D96" s="159"/>
      <c r="E96" s="565">
        <f t="shared" si="79"/>
        <v>0</v>
      </c>
      <c r="F96" s="159"/>
      <c r="G96" s="565">
        <f t="shared" si="80"/>
        <v>0</v>
      </c>
      <c r="H96" s="548">
        <v>0.1</v>
      </c>
      <c r="I96" s="565">
        <f t="shared" si="85"/>
        <v>11.300000000000002</v>
      </c>
      <c r="J96" s="548"/>
      <c r="K96" s="688"/>
      <c r="L96" s="565">
        <f t="shared" si="86"/>
        <v>0</v>
      </c>
      <c r="M96" s="688"/>
      <c r="N96" s="565">
        <f t="shared" si="75"/>
        <v>7.4862500000000012E-2</v>
      </c>
      <c r="O96" s="565">
        <f t="shared" si="87"/>
        <v>2</v>
      </c>
      <c r="P96" s="688"/>
      <c r="Q96" s="565">
        <f t="shared" si="81"/>
        <v>1.325E-2</v>
      </c>
      <c r="R96" s="565"/>
      <c r="S96" s="566"/>
      <c r="T96" s="685">
        <f t="shared" si="76"/>
        <v>0</v>
      </c>
      <c r="U96" s="685">
        <f t="shared" si="82"/>
        <v>0</v>
      </c>
      <c r="V96" s="685">
        <f t="shared" si="83"/>
        <v>0</v>
      </c>
      <c r="W96" s="684">
        <f t="shared" si="84"/>
        <v>7.4862500000000012E-2</v>
      </c>
      <c r="X96" s="682">
        <f t="shared" si="77"/>
        <v>0</v>
      </c>
      <c r="Y96" s="552"/>
      <c r="Z96" s="552"/>
      <c r="AA96" s="150"/>
    </row>
    <row r="97" spans="1:27" x14ac:dyDescent="0.25">
      <c r="A97" s="95" t="s">
        <v>480</v>
      </c>
      <c r="B97" s="159"/>
      <c r="C97" s="565">
        <f t="shared" si="78"/>
        <v>0</v>
      </c>
      <c r="D97" s="159"/>
      <c r="E97" s="565">
        <f t="shared" si="79"/>
        <v>0</v>
      </c>
      <c r="F97" s="159"/>
      <c r="G97" s="565">
        <f t="shared" si="80"/>
        <v>0</v>
      </c>
      <c r="H97" s="548">
        <v>0.1</v>
      </c>
      <c r="I97" s="565">
        <f t="shared" si="85"/>
        <v>11.200000000000003</v>
      </c>
      <c r="J97" s="548"/>
      <c r="K97" s="688"/>
      <c r="L97" s="565">
        <f t="shared" si="86"/>
        <v>0</v>
      </c>
      <c r="M97" s="688"/>
      <c r="N97" s="565">
        <f t="shared" si="75"/>
        <v>7.4200000000000016E-2</v>
      </c>
      <c r="O97" s="565">
        <f t="shared" si="87"/>
        <v>2</v>
      </c>
      <c r="P97" s="688"/>
      <c r="Q97" s="565">
        <f t="shared" si="81"/>
        <v>1.325E-2</v>
      </c>
      <c r="R97" s="565"/>
      <c r="S97" s="566"/>
      <c r="T97" s="685">
        <f t="shared" si="76"/>
        <v>0</v>
      </c>
      <c r="U97" s="685">
        <f t="shared" si="82"/>
        <v>0</v>
      </c>
      <c r="V97" s="685">
        <f t="shared" si="83"/>
        <v>0</v>
      </c>
      <c r="W97" s="684">
        <f t="shared" si="84"/>
        <v>7.4200000000000016E-2</v>
      </c>
      <c r="X97" s="682">
        <f t="shared" si="77"/>
        <v>0</v>
      </c>
      <c r="Y97" s="552"/>
      <c r="Z97" s="552"/>
      <c r="AA97" s="150"/>
    </row>
    <row r="98" spans="1:27" x14ac:dyDescent="0.25">
      <c r="A98" s="95" t="s">
        <v>481</v>
      </c>
      <c r="B98" s="159"/>
      <c r="C98" s="565">
        <f t="shared" si="78"/>
        <v>0</v>
      </c>
      <c r="D98" s="159"/>
      <c r="E98" s="565">
        <f t="shared" si="79"/>
        <v>0</v>
      </c>
      <c r="F98" s="159"/>
      <c r="G98" s="565">
        <f t="shared" si="80"/>
        <v>0</v>
      </c>
      <c r="H98" s="548">
        <v>0.1</v>
      </c>
      <c r="I98" s="565">
        <f t="shared" si="85"/>
        <v>11.100000000000003</v>
      </c>
      <c r="J98" s="548"/>
      <c r="K98" s="688"/>
      <c r="L98" s="565">
        <f t="shared" si="86"/>
        <v>0</v>
      </c>
      <c r="M98" s="688"/>
      <c r="N98" s="565">
        <f t="shared" si="75"/>
        <v>7.353750000000002E-2</v>
      </c>
      <c r="O98" s="565">
        <f t="shared" si="87"/>
        <v>2</v>
      </c>
      <c r="P98" s="688"/>
      <c r="Q98" s="565">
        <f t="shared" si="81"/>
        <v>1.325E-2</v>
      </c>
      <c r="R98" s="565"/>
      <c r="S98" s="566"/>
      <c r="T98" s="685">
        <f t="shared" si="76"/>
        <v>0</v>
      </c>
      <c r="U98" s="685">
        <f t="shared" si="82"/>
        <v>0</v>
      </c>
      <c r="V98" s="685">
        <f t="shared" si="83"/>
        <v>0</v>
      </c>
      <c r="W98" s="684">
        <f t="shared" si="84"/>
        <v>7.353750000000002E-2</v>
      </c>
      <c r="X98" s="682">
        <f t="shared" si="77"/>
        <v>0</v>
      </c>
      <c r="Y98" s="552"/>
      <c r="Z98" s="552"/>
      <c r="AA98" s="150"/>
    </row>
    <row r="99" spans="1:27" x14ac:dyDescent="0.25">
      <c r="A99" s="95" t="s">
        <v>482</v>
      </c>
      <c r="B99" s="159"/>
      <c r="C99" s="565">
        <f t="shared" si="78"/>
        <v>0</v>
      </c>
      <c r="D99" s="159"/>
      <c r="E99" s="565">
        <f t="shared" si="79"/>
        <v>0</v>
      </c>
      <c r="F99" s="159"/>
      <c r="G99" s="565">
        <f t="shared" si="80"/>
        <v>0</v>
      </c>
      <c r="H99" s="548">
        <v>0.1</v>
      </c>
      <c r="I99" s="565">
        <f t="shared" si="85"/>
        <v>11.000000000000004</v>
      </c>
      <c r="J99" s="548"/>
      <c r="K99" s="688"/>
      <c r="L99" s="565">
        <f t="shared" si="86"/>
        <v>0</v>
      </c>
      <c r="M99" s="688"/>
      <c r="N99" s="565">
        <f t="shared" si="75"/>
        <v>7.2875000000000023E-2</v>
      </c>
      <c r="O99" s="565">
        <f t="shared" si="87"/>
        <v>2</v>
      </c>
      <c r="P99" s="688"/>
      <c r="Q99" s="565">
        <f t="shared" si="81"/>
        <v>1.325E-2</v>
      </c>
      <c r="R99" s="565"/>
      <c r="S99" s="566"/>
      <c r="T99" s="685">
        <f t="shared" si="76"/>
        <v>0</v>
      </c>
      <c r="U99" s="685">
        <f t="shared" si="82"/>
        <v>0</v>
      </c>
      <c r="V99" s="685">
        <f t="shared" si="83"/>
        <v>0</v>
      </c>
      <c r="W99" s="684">
        <f t="shared" si="84"/>
        <v>7.2875000000000023E-2</v>
      </c>
      <c r="X99" s="682">
        <f t="shared" si="77"/>
        <v>0</v>
      </c>
      <c r="Y99" s="552"/>
      <c r="Z99" s="552"/>
      <c r="AA99" s="150"/>
    </row>
    <row r="100" spans="1:27" x14ac:dyDescent="0.25">
      <c r="A100" s="95" t="s">
        <v>483</v>
      </c>
      <c r="B100" s="159"/>
      <c r="C100" s="565">
        <f t="shared" si="78"/>
        <v>0</v>
      </c>
      <c r="D100" s="159"/>
      <c r="E100" s="565">
        <f t="shared" si="79"/>
        <v>0</v>
      </c>
      <c r="F100" s="159"/>
      <c r="G100" s="565">
        <f t="shared" si="80"/>
        <v>0</v>
      </c>
      <c r="H100" s="548">
        <v>0.1</v>
      </c>
      <c r="I100" s="565">
        <f t="shared" si="85"/>
        <v>10.900000000000004</v>
      </c>
      <c r="J100" s="548"/>
      <c r="K100" s="688"/>
      <c r="L100" s="565">
        <f t="shared" si="86"/>
        <v>0</v>
      </c>
      <c r="M100" s="688"/>
      <c r="N100" s="565">
        <f t="shared" si="75"/>
        <v>7.2212500000000027E-2</v>
      </c>
      <c r="O100" s="565">
        <f t="shared" si="87"/>
        <v>2</v>
      </c>
      <c r="P100" s="688"/>
      <c r="Q100" s="565">
        <f t="shared" si="81"/>
        <v>1.325E-2</v>
      </c>
      <c r="R100" s="565"/>
      <c r="S100" s="566"/>
      <c r="T100" s="685">
        <f t="shared" si="76"/>
        <v>0</v>
      </c>
      <c r="U100" s="685">
        <f t="shared" si="82"/>
        <v>0</v>
      </c>
      <c r="V100" s="685">
        <f t="shared" si="83"/>
        <v>0</v>
      </c>
      <c r="W100" s="684">
        <f t="shared" si="84"/>
        <v>7.2212500000000027E-2</v>
      </c>
      <c r="X100" s="682">
        <f t="shared" si="77"/>
        <v>0</v>
      </c>
      <c r="Y100" s="552"/>
      <c r="Z100" s="552"/>
      <c r="AA100" s="150"/>
    </row>
    <row r="101" spans="1:27" x14ac:dyDescent="0.25">
      <c r="A101" s="567" t="s">
        <v>258</v>
      </c>
      <c r="B101" s="566">
        <f>SUM(B89:B100)</f>
        <v>0</v>
      </c>
      <c r="C101" s="565"/>
      <c r="D101" s="566">
        <f>SUM(D89:D100)</f>
        <v>0</v>
      </c>
      <c r="E101" s="565"/>
      <c r="F101" s="566">
        <f>SUM(F89:F100)</f>
        <v>0</v>
      </c>
      <c r="G101" s="565"/>
      <c r="H101" s="566">
        <f>SUM(H89:H100)</f>
        <v>1.2</v>
      </c>
      <c r="I101" s="565"/>
      <c r="J101" s="566">
        <f>SUM(J89:J100)</f>
        <v>0</v>
      </c>
      <c r="K101" s="566">
        <f>SUM(K89:K100)</f>
        <v>0</v>
      </c>
      <c r="L101" s="565"/>
      <c r="M101" s="566">
        <f>SUM(M89:M100)</f>
        <v>0</v>
      </c>
      <c r="N101" s="566">
        <f>SUM(N89:N100)</f>
        <v>0.91027500000000028</v>
      </c>
      <c r="O101" s="565"/>
      <c r="P101" s="566">
        <f>SUM(P89:P100)</f>
        <v>0</v>
      </c>
      <c r="Q101" s="566">
        <f>SUM(Q89:Q100)</f>
        <v>0.15900000000000003</v>
      </c>
      <c r="R101" s="566"/>
      <c r="S101" s="566">
        <f>N101+Q101</f>
        <v>1.0692750000000002</v>
      </c>
      <c r="T101" s="566">
        <f>SUM(T89:T100)</f>
        <v>0</v>
      </c>
      <c r="U101" s="566">
        <f>SUM(U89:U100)</f>
        <v>0</v>
      </c>
      <c r="V101" s="566">
        <f>SUM(V89:V100)</f>
        <v>0</v>
      </c>
      <c r="W101" s="566">
        <f>SUM(W89:W100)</f>
        <v>0.91027500000000028</v>
      </c>
      <c r="X101" s="566">
        <f>SUM(X89:X100)</f>
        <v>0</v>
      </c>
      <c r="Y101" s="552"/>
      <c r="Z101" s="552"/>
      <c r="AA101" s="150"/>
    </row>
    <row r="102" spans="1:27" x14ac:dyDescent="0.25">
      <c r="A102" s="106">
        <f>'Oper.St.'!I11</f>
        <v>2026</v>
      </c>
      <c r="B102" s="1011">
        <f>A102</f>
        <v>2026</v>
      </c>
      <c r="C102" s="1011">
        <f>B102</f>
        <v>2026</v>
      </c>
      <c r="D102" s="1011">
        <f t="shared" ref="D102:X102" si="88">C102</f>
        <v>2026</v>
      </c>
      <c r="E102" s="1011">
        <f t="shared" si="88"/>
        <v>2026</v>
      </c>
      <c r="F102" s="1011">
        <f t="shared" si="88"/>
        <v>2026</v>
      </c>
      <c r="G102" s="1011">
        <f t="shared" si="88"/>
        <v>2026</v>
      </c>
      <c r="H102" s="1011">
        <f t="shared" si="88"/>
        <v>2026</v>
      </c>
      <c r="I102" s="1011">
        <f t="shared" si="88"/>
        <v>2026</v>
      </c>
      <c r="J102" s="1011"/>
      <c r="K102" s="1011">
        <f>I102</f>
        <v>2026</v>
      </c>
      <c r="L102" s="1011">
        <f t="shared" si="88"/>
        <v>2026</v>
      </c>
      <c r="M102" s="1011">
        <f t="shared" si="88"/>
        <v>2026</v>
      </c>
      <c r="N102" s="1011">
        <f t="shared" si="88"/>
        <v>2026</v>
      </c>
      <c r="O102" s="1011">
        <f t="shared" si="88"/>
        <v>2026</v>
      </c>
      <c r="P102" s="1011">
        <f t="shared" si="88"/>
        <v>2026</v>
      </c>
      <c r="Q102" s="1011">
        <f>O102</f>
        <v>2026</v>
      </c>
      <c r="R102" s="1011">
        <f t="shared" si="88"/>
        <v>2026</v>
      </c>
      <c r="S102" s="1011">
        <f t="shared" si="88"/>
        <v>2026</v>
      </c>
      <c r="T102" s="1011">
        <f t="shared" si="88"/>
        <v>2026</v>
      </c>
      <c r="U102" s="1011">
        <f t="shared" si="88"/>
        <v>2026</v>
      </c>
      <c r="V102" s="1011">
        <f t="shared" si="88"/>
        <v>2026</v>
      </c>
      <c r="W102" s="1011">
        <f t="shared" si="88"/>
        <v>2026</v>
      </c>
      <c r="X102" s="1011">
        <f t="shared" si="88"/>
        <v>2026</v>
      </c>
      <c r="Y102" s="552"/>
      <c r="Z102" s="552"/>
      <c r="AA102" s="150"/>
    </row>
    <row r="103" spans="1:27" x14ac:dyDescent="0.25">
      <c r="A103" s="95" t="s">
        <v>472</v>
      </c>
      <c r="B103" s="159"/>
      <c r="C103" s="565">
        <f>C100-B100</f>
        <v>0</v>
      </c>
      <c r="D103" s="159"/>
      <c r="E103" s="565">
        <f>E100-D100</f>
        <v>0</v>
      </c>
      <c r="F103" s="159"/>
      <c r="G103" s="565">
        <f>G100-F100</f>
        <v>0</v>
      </c>
      <c r="H103" s="548">
        <v>0.12</v>
      </c>
      <c r="I103" s="565">
        <f>I100-H100+J103</f>
        <v>10.800000000000004</v>
      </c>
      <c r="J103" s="548"/>
      <c r="K103" s="688"/>
      <c r="L103" s="565">
        <f>L100-K100+M103</f>
        <v>0</v>
      </c>
      <c r="M103" s="688"/>
      <c r="N103" s="565">
        <f t="shared" ref="N103:N114" si="89">T103+U103+V103+W103+X103</f>
        <v>7.1550000000000044E-2</v>
      </c>
      <c r="O103" s="565">
        <f>O100+P103</f>
        <v>2</v>
      </c>
      <c r="P103" s="688"/>
      <c r="Q103" s="565">
        <f>O103*$Q$16/100/12*$R$16/100</f>
        <v>1.325E-2</v>
      </c>
      <c r="R103" s="565"/>
      <c r="S103" s="566"/>
      <c r="T103" s="685">
        <f t="shared" ref="T103:T114" si="90">C103*$C$17/100/12</f>
        <v>0</v>
      </c>
      <c r="U103" s="685">
        <f>E103*$E$17/100/12</f>
        <v>0</v>
      </c>
      <c r="V103" s="685">
        <f>G103*$G$17/100/12</f>
        <v>0</v>
      </c>
      <c r="W103" s="684">
        <f>I103*$I$17/100/12</f>
        <v>7.1550000000000044E-2</v>
      </c>
      <c r="X103" s="682">
        <f t="shared" ref="X103:X114" si="91">L103*$L$17/100/12</f>
        <v>0</v>
      </c>
      <c r="Y103" s="552"/>
      <c r="Z103" s="552"/>
      <c r="AA103" s="150"/>
    </row>
    <row r="104" spans="1:27" x14ac:dyDescent="0.25">
      <c r="A104" s="95" t="s">
        <v>473</v>
      </c>
      <c r="B104" s="159"/>
      <c r="C104" s="565">
        <f t="shared" ref="C104:C114" si="92">C103-B103</f>
        <v>0</v>
      </c>
      <c r="D104" s="159"/>
      <c r="E104" s="565">
        <f t="shared" ref="E104:E114" si="93">E103-D103</f>
        <v>0</v>
      </c>
      <c r="F104" s="159"/>
      <c r="G104" s="565">
        <f t="shared" ref="G104:G114" si="94">G103-F103</f>
        <v>0</v>
      </c>
      <c r="H104" s="548">
        <v>0.12</v>
      </c>
      <c r="I104" s="565">
        <f>I103-H103+J104</f>
        <v>10.680000000000005</v>
      </c>
      <c r="J104" s="548"/>
      <c r="K104" s="688"/>
      <c r="L104" s="565">
        <f>L103-K103+M104</f>
        <v>0</v>
      </c>
      <c r="M104" s="688"/>
      <c r="N104" s="565">
        <f t="shared" si="89"/>
        <v>7.075500000000004E-2</v>
      </c>
      <c r="O104" s="565">
        <f>O103+P104</f>
        <v>2</v>
      </c>
      <c r="P104" s="688"/>
      <c r="Q104" s="565">
        <f t="shared" ref="Q104:Q114" si="95">O104*$Q$16/100/12*$R$16/100</f>
        <v>1.325E-2</v>
      </c>
      <c r="R104" s="565"/>
      <c r="S104" s="566"/>
      <c r="T104" s="685">
        <f t="shared" si="90"/>
        <v>0</v>
      </c>
      <c r="U104" s="685">
        <f t="shared" ref="U104:U114" si="96">E104*$E$17/100/12</f>
        <v>0</v>
      </c>
      <c r="V104" s="685">
        <f t="shared" ref="V104:V114" si="97">G104*$G$17/100/12</f>
        <v>0</v>
      </c>
      <c r="W104" s="684">
        <f t="shared" ref="W104:W114" si="98">I104*$I$17/100/12</f>
        <v>7.075500000000004E-2</v>
      </c>
      <c r="X104" s="682">
        <f t="shared" si="91"/>
        <v>0</v>
      </c>
      <c r="Y104" s="552"/>
      <c r="Z104" s="552"/>
      <c r="AA104" s="150"/>
    </row>
    <row r="105" spans="1:27" x14ac:dyDescent="0.25">
      <c r="A105" s="95" t="s">
        <v>474</v>
      </c>
      <c r="B105" s="159"/>
      <c r="C105" s="565">
        <f t="shared" si="92"/>
        <v>0</v>
      </c>
      <c r="D105" s="159"/>
      <c r="E105" s="565">
        <f t="shared" si="93"/>
        <v>0</v>
      </c>
      <c r="F105" s="159"/>
      <c r="G105" s="565">
        <f t="shared" si="94"/>
        <v>0</v>
      </c>
      <c r="H105" s="548">
        <v>0.12</v>
      </c>
      <c r="I105" s="565">
        <f t="shared" ref="I105:I114" si="99">I104-H104+J105</f>
        <v>10.560000000000006</v>
      </c>
      <c r="J105" s="548"/>
      <c r="K105" s="688"/>
      <c r="L105" s="565">
        <f t="shared" ref="L105:L114" si="100">L104-K104+M105</f>
        <v>0</v>
      </c>
      <c r="M105" s="688"/>
      <c r="N105" s="565">
        <f t="shared" si="89"/>
        <v>6.996000000000005E-2</v>
      </c>
      <c r="O105" s="565">
        <f t="shared" ref="O105:O114" si="101">O104+P105</f>
        <v>2</v>
      </c>
      <c r="P105" s="688"/>
      <c r="Q105" s="565">
        <f t="shared" si="95"/>
        <v>1.325E-2</v>
      </c>
      <c r="R105" s="565"/>
      <c r="S105" s="566"/>
      <c r="T105" s="685">
        <f t="shared" si="90"/>
        <v>0</v>
      </c>
      <c r="U105" s="685">
        <f t="shared" si="96"/>
        <v>0</v>
      </c>
      <c r="V105" s="685">
        <f t="shared" si="97"/>
        <v>0</v>
      </c>
      <c r="W105" s="684">
        <f t="shared" si="98"/>
        <v>6.996000000000005E-2</v>
      </c>
      <c r="X105" s="682">
        <f t="shared" si="91"/>
        <v>0</v>
      </c>
      <c r="Y105" s="552"/>
      <c r="Z105" s="552"/>
      <c r="AA105" s="150"/>
    </row>
    <row r="106" spans="1:27" x14ac:dyDescent="0.25">
      <c r="A106" s="95" t="s">
        <v>475</v>
      </c>
      <c r="B106" s="159"/>
      <c r="C106" s="565">
        <f t="shared" si="92"/>
        <v>0</v>
      </c>
      <c r="D106" s="159"/>
      <c r="E106" s="565">
        <f t="shared" si="93"/>
        <v>0</v>
      </c>
      <c r="F106" s="159"/>
      <c r="G106" s="565">
        <f t="shared" si="94"/>
        <v>0</v>
      </c>
      <c r="H106" s="548">
        <v>0.12</v>
      </c>
      <c r="I106" s="565">
        <f t="shared" si="99"/>
        <v>10.440000000000007</v>
      </c>
      <c r="J106" s="548"/>
      <c r="K106" s="688"/>
      <c r="L106" s="565">
        <f t="shared" si="100"/>
        <v>0</v>
      </c>
      <c r="M106" s="688"/>
      <c r="N106" s="565">
        <f t="shared" si="89"/>
        <v>6.9165000000000046E-2</v>
      </c>
      <c r="O106" s="565">
        <f t="shared" si="101"/>
        <v>2</v>
      </c>
      <c r="P106" s="688"/>
      <c r="Q106" s="565">
        <f t="shared" si="95"/>
        <v>1.325E-2</v>
      </c>
      <c r="R106" s="565"/>
      <c r="S106" s="566"/>
      <c r="T106" s="685">
        <f t="shared" si="90"/>
        <v>0</v>
      </c>
      <c r="U106" s="685">
        <f t="shared" si="96"/>
        <v>0</v>
      </c>
      <c r="V106" s="685">
        <f t="shared" si="97"/>
        <v>0</v>
      </c>
      <c r="W106" s="684">
        <f t="shared" si="98"/>
        <v>6.9165000000000046E-2</v>
      </c>
      <c r="X106" s="682">
        <f t="shared" si="91"/>
        <v>0</v>
      </c>
      <c r="Y106" s="552"/>
      <c r="Z106" s="552"/>
      <c r="AA106" s="150"/>
    </row>
    <row r="107" spans="1:27" x14ac:dyDescent="0.25">
      <c r="A107" s="95" t="s">
        <v>476</v>
      </c>
      <c r="B107" s="159"/>
      <c r="C107" s="565">
        <f t="shared" si="92"/>
        <v>0</v>
      </c>
      <c r="D107" s="159"/>
      <c r="E107" s="565">
        <f t="shared" si="93"/>
        <v>0</v>
      </c>
      <c r="F107" s="159"/>
      <c r="G107" s="565">
        <f t="shared" si="94"/>
        <v>0</v>
      </c>
      <c r="H107" s="548">
        <v>0.12</v>
      </c>
      <c r="I107" s="565">
        <f t="shared" si="99"/>
        <v>10.320000000000007</v>
      </c>
      <c r="J107" s="548"/>
      <c r="K107" s="688"/>
      <c r="L107" s="565">
        <f t="shared" si="100"/>
        <v>0</v>
      </c>
      <c r="M107" s="688"/>
      <c r="N107" s="565">
        <f t="shared" si="89"/>
        <v>6.8370000000000042E-2</v>
      </c>
      <c r="O107" s="565">
        <f t="shared" si="101"/>
        <v>2</v>
      </c>
      <c r="P107" s="688"/>
      <c r="Q107" s="565">
        <f t="shared" si="95"/>
        <v>1.325E-2</v>
      </c>
      <c r="R107" s="565"/>
      <c r="S107" s="566"/>
      <c r="T107" s="685">
        <f t="shared" si="90"/>
        <v>0</v>
      </c>
      <c r="U107" s="685">
        <f t="shared" si="96"/>
        <v>0</v>
      </c>
      <c r="V107" s="685">
        <f t="shared" si="97"/>
        <v>0</v>
      </c>
      <c r="W107" s="684">
        <f t="shared" si="98"/>
        <v>6.8370000000000042E-2</v>
      </c>
      <c r="X107" s="682">
        <f t="shared" si="91"/>
        <v>0</v>
      </c>
      <c r="Y107" s="552"/>
      <c r="Z107" s="552"/>
      <c r="AA107" s="150"/>
    </row>
    <row r="108" spans="1:27" x14ac:dyDescent="0.25">
      <c r="A108" s="95" t="s">
        <v>477</v>
      </c>
      <c r="B108" s="159"/>
      <c r="C108" s="565">
        <f t="shared" si="92"/>
        <v>0</v>
      </c>
      <c r="D108" s="159"/>
      <c r="E108" s="565">
        <f t="shared" si="93"/>
        <v>0</v>
      </c>
      <c r="F108" s="159"/>
      <c r="G108" s="565">
        <f t="shared" si="94"/>
        <v>0</v>
      </c>
      <c r="H108" s="548">
        <v>0.12</v>
      </c>
      <c r="I108" s="565">
        <f t="shared" si="99"/>
        <v>10.200000000000008</v>
      </c>
      <c r="J108" s="548"/>
      <c r="K108" s="688"/>
      <c r="L108" s="565">
        <f t="shared" si="100"/>
        <v>0</v>
      </c>
      <c r="M108" s="688"/>
      <c r="N108" s="565">
        <f t="shared" si="89"/>
        <v>6.7575000000000052E-2</v>
      </c>
      <c r="O108" s="565">
        <f t="shared" si="101"/>
        <v>2</v>
      </c>
      <c r="P108" s="688"/>
      <c r="Q108" s="565">
        <f t="shared" si="95"/>
        <v>1.325E-2</v>
      </c>
      <c r="R108" s="565"/>
      <c r="S108" s="566"/>
      <c r="T108" s="685">
        <f t="shared" si="90"/>
        <v>0</v>
      </c>
      <c r="U108" s="685">
        <f t="shared" si="96"/>
        <v>0</v>
      </c>
      <c r="V108" s="685">
        <f t="shared" si="97"/>
        <v>0</v>
      </c>
      <c r="W108" s="684">
        <f t="shared" si="98"/>
        <v>6.7575000000000052E-2</v>
      </c>
      <c r="X108" s="682">
        <f t="shared" si="91"/>
        <v>0</v>
      </c>
      <c r="Y108" s="552"/>
      <c r="Z108" s="552"/>
      <c r="AA108" s="150"/>
    </row>
    <row r="109" spans="1:27" x14ac:dyDescent="0.25">
      <c r="A109" s="95" t="s">
        <v>478</v>
      </c>
      <c r="B109" s="159"/>
      <c r="C109" s="565">
        <f t="shared" si="92"/>
        <v>0</v>
      </c>
      <c r="D109" s="159"/>
      <c r="E109" s="565">
        <f t="shared" si="93"/>
        <v>0</v>
      </c>
      <c r="F109" s="159"/>
      <c r="G109" s="565">
        <f t="shared" si="94"/>
        <v>0</v>
      </c>
      <c r="H109" s="548">
        <v>0.12</v>
      </c>
      <c r="I109" s="565">
        <f t="shared" si="99"/>
        <v>10.080000000000009</v>
      </c>
      <c r="J109" s="548"/>
      <c r="K109" s="688"/>
      <c r="L109" s="565">
        <f t="shared" si="100"/>
        <v>0</v>
      </c>
      <c r="M109" s="688"/>
      <c r="N109" s="565">
        <f t="shared" si="89"/>
        <v>6.6780000000000048E-2</v>
      </c>
      <c r="O109" s="565">
        <f t="shared" si="101"/>
        <v>2</v>
      </c>
      <c r="P109" s="688"/>
      <c r="Q109" s="565">
        <f t="shared" si="95"/>
        <v>1.325E-2</v>
      </c>
      <c r="R109" s="565"/>
      <c r="S109" s="566"/>
      <c r="T109" s="685">
        <f t="shared" si="90"/>
        <v>0</v>
      </c>
      <c r="U109" s="685">
        <f t="shared" si="96"/>
        <v>0</v>
      </c>
      <c r="V109" s="685">
        <f t="shared" si="97"/>
        <v>0</v>
      </c>
      <c r="W109" s="684">
        <f t="shared" si="98"/>
        <v>6.6780000000000048E-2</v>
      </c>
      <c r="X109" s="682">
        <f t="shared" si="91"/>
        <v>0</v>
      </c>
      <c r="Y109" s="552"/>
      <c r="Z109" s="552"/>
      <c r="AA109" s="150"/>
    </row>
    <row r="110" spans="1:27" s="107" customFormat="1" x14ac:dyDescent="0.25">
      <c r="A110" s="95" t="s">
        <v>479</v>
      </c>
      <c r="B110" s="159"/>
      <c r="C110" s="565">
        <f t="shared" si="92"/>
        <v>0</v>
      </c>
      <c r="D110" s="159"/>
      <c r="E110" s="565">
        <f t="shared" si="93"/>
        <v>0</v>
      </c>
      <c r="F110" s="159"/>
      <c r="G110" s="565">
        <f t="shared" si="94"/>
        <v>0</v>
      </c>
      <c r="H110" s="548">
        <v>0.12</v>
      </c>
      <c r="I110" s="565">
        <f t="shared" si="99"/>
        <v>9.9600000000000097</v>
      </c>
      <c r="J110" s="548"/>
      <c r="K110" s="688"/>
      <c r="L110" s="565">
        <f t="shared" si="100"/>
        <v>0</v>
      </c>
      <c r="M110" s="688"/>
      <c r="N110" s="565">
        <f t="shared" si="89"/>
        <v>6.5985000000000057E-2</v>
      </c>
      <c r="O110" s="565">
        <f t="shared" si="101"/>
        <v>2</v>
      </c>
      <c r="P110" s="688"/>
      <c r="Q110" s="565">
        <f t="shared" si="95"/>
        <v>1.325E-2</v>
      </c>
      <c r="R110" s="565"/>
      <c r="S110" s="566"/>
      <c r="T110" s="685">
        <f t="shared" si="90"/>
        <v>0</v>
      </c>
      <c r="U110" s="685">
        <f t="shared" si="96"/>
        <v>0</v>
      </c>
      <c r="V110" s="685">
        <f t="shared" si="97"/>
        <v>0</v>
      </c>
      <c r="W110" s="684">
        <f t="shared" si="98"/>
        <v>6.5985000000000057E-2</v>
      </c>
      <c r="X110" s="682">
        <f t="shared" si="91"/>
        <v>0</v>
      </c>
      <c r="Y110" s="552"/>
      <c r="Z110" s="552"/>
      <c r="AA110" s="155"/>
    </row>
    <row r="111" spans="1:27" s="107" customFormat="1" x14ac:dyDescent="0.25">
      <c r="A111" s="95" t="s">
        <v>480</v>
      </c>
      <c r="B111" s="159"/>
      <c r="C111" s="565">
        <f t="shared" si="92"/>
        <v>0</v>
      </c>
      <c r="D111" s="159"/>
      <c r="E111" s="565">
        <f t="shared" si="93"/>
        <v>0</v>
      </c>
      <c r="F111" s="159"/>
      <c r="G111" s="565">
        <f t="shared" si="94"/>
        <v>0</v>
      </c>
      <c r="H111" s="548">
        <v>0.12</v>
      </c>
      <c r="I111" s="565">
        <f t="shared" si="99"/>
        <v>9.8400000000000105</v>
      </c>
      <c r="J111" s="548"/>
      <c r="K111" s="688"/>
      <c r="L111" s="565">
        <f t="shared" si="100"/>
        <v>0</v>
      </c>
      <c r="M111" s="688"/>
      <c r="N111" s="565">
        <f t="shared" si="89"/>
        <v>6.5190000000000067E-2</v>
      </c>
      <c r="O111" s="565">
        <f t="shared" si="101"/>
        <v>2</v>
      </c>
      <c r="P111" s="688"/>
      <c r="Q111" s="565">
        <f t="shared" si="95"/>
        <v>1.325E-2</v>
      </c>
      <c r="R111" s="565"/>
      <c r="S111" s="566"/>
      <c r="T111" s="685">
        <f t="shared" si="90"/>
        <v>0</v>
      </c>
      <c r="U111" s="685">
        <f t="shared" si="96"/>
        <v>0</v>
      </c>
      <c r="V111" s="685">
        <f t="shared" si="97"/>
        <v>0</v>
      </c>
      <c r="W111" s="684">
        <f t="shared" si="98"/>
        <v>6.5190000000000067E-2</v>
      </c>
      <c r="X111" s="682">
        <f t="shared" si="91"/>
        <v>0</v>
      </c>
      <c r="Y111" s="552"/>
      <c r="Z111" s="552"/>
      <c r="AA111" s="155"/>
    </row>
    <row r="112" spans="1:27" s="107" customFormat="1" x14ac:dyDescent="0.25">
      <c r="A112" s="95" t="s">
        <v>481</v>
      </c>
      <c r="B112" s="159"/>
      <c r="C112" s="565">
        <f t="shared" si="92"/>
        <v>0</v>
      </c>
      <c r="D112" s="159"/>
      <c r="E112" s="565">
        <f t="shared" si="93"/>
        <v>0</v>
      </c>
      <c r="F112" s="159"/>
      <c r="G112" s="565">
        <f t="shared" si="94"/>
        <v>0</v>
      </c>
      <c r="H112" s="548">
        <v>0.12</v>
      </c>
      <c r="I112" s="565">
        <f t="shared" si="99"/>
        <v>9.7200000000000113</v>
      </c>
      <c r="J112" s="548"/>
      <c r="K112" s="688"/>
      <c r="L112" s="565">
        <f t="shared" si="100"/>
        <v>0</v>
      </c>
      <c r="M112" s="688"/>
      <c r="N112" s="565">
        <f t="shared" si="89"/>
        <v>6.4395000000000077E-2</v>
      </c>
      <c r="O112" s="565">
        <f t="shared" si="101"/>
        <v>2</v>
      </c>
      <c r="P112" s="688"/>
      <c r="Q112" s="565">
        <f t="shared" si="95"/>
        <v>1.325E-2</v>
      </c>
      <c r="R112" s="565"/>
      <c r="S112" s="566"/>
      <c r="T112" s="685">
        <f t="shared" si="90"/>
        <v>0</v>
      </c>
      <c r="U112" s="685">
        <f t="shared" si="96"/>
        <v>0</v>
      </c>
      <c r="V112" s="685">
        <f t="shared" si="97"/>
        <v>0</v>
      </c>
      <c r="W112" s="684">
        <f t="shared" si="98"/>
        <v>6.4395000000000077E-2</v>
      </c>
      <c r="X112" s="682">
        <f t="shared" si="91"/>
        <v>0</v>
      </c>
      <c r="Y112" s="552"/>
      <c r="Z112" s="552"/>
      <c r="AA112" s="155"/>
    </row>
    <row r="113" spans="1:27" s="107" customFormat="1" x14ac:dyDescent="0.25">
      <c r="A113" s="95" t="s">
        <v>482</v>
      </c>
      <c r="B113" s="159"/>
      <c r="C113" s="565">
        <f t="shared" si="92"/>
        <v>0</v>
      </c>
      <c r="D113" s="159"/>
      <c r="E113" s="565">
        <f t="shared" si="93"/>
        <v>0</v>
      </c>
      <c r="F113" s="159"/>
      <c r="G113" s="565">
        <f t="shared" si="94"/>
        <v>0</v>
      </c>
      <c r="H113" s="548">
        <v>0.12</v>
      </c>
      <c r="I113" s="565">
        <f t="shared" si="99"/>
        <v>9.6000000000000121</v>
      </c>
      <c r="J113" s="548"/>
      <c r="K113" s="688"/>
      <c r="L113" s="565">
        <f t="shared" si="100"/>
        <v>0</v>
      </c>
      <c r="M113" s="688"/>
      <c r="N113" s="565">
        <f t="shared" si="89"/>
        <v>6.3600000000000073E-2</v>
      </c>
      <c r="O113" s="565">
        <f t="shared" si="101"/>
        <v>2</v>
      </c>
      <c r="P113" s="688"/>
      <c r="Q113" s="565">
        <f t="shared" si="95"/>
        <v>1.325E-2</v>
      </c>
      <c r="R113" s="565"/>
      <c r="S113" s="566"/>
      <c r="T113" s="685">
        <f t="shared" si="90"/>
        <v>0</v>
      </c>
      <c r="U113" s="685">
        <f t="shared" si="96"/>
        <v>0</v>
      </c>
      <c r="V113" s="685">
        <f t="shared" si="97"/>
        <v>0</v>
      </c>
      <c r="W113" s="684">
        <f t="shared" si="98"/>
        <v>6.3600000000000073E-2</v>
      </c>
      <c r="X113" s="682">
        <f t="shared" si="91"/>
        <v>0</v>
      </c>
      <c r="Y113" s="552"/>
      <c r="Z113" s="552"/>
      <c r="AA113" s="155"/>
    </row>
    <row r="114" spans="1:27" s="107" customFormat="1" x14ac:dyDescent="0.25">
      <c r="A114" s="95" t="s">
        <v>483</v>
      </c>
      <c r="B114" s="159"/>
      <c r="C114" s="565">
        <f t="shared" si="92"/>
        <v>0</v>
      </c>
      <c r="D114" s="159"/>
      <c r="E114" s="565">
        <f t="shared" si="93"/>
        <v>0</v>
      </c>
      <c r="F114" s="159"/>
      <c r="G114" s="565">
        <f t="shared" si="94"/>
        <v>0</v>
      </c>
      <c r="H114" s="548">
        <v>0.12</v>
      </c>
      <c r="I114" s="565">
        <f t="shared" si="99"/>
        <v>9.4800000000000129</v>
      </c>
      <c r="J114" s="548"/>
      <c r="K114" s="688"/>
      <c r="L114" s="565">
        <f t="shared" si="100"/>
        <v>0</v>
      </c>
      <c r="M114" s="688"/>
      <c r="N114" s="565">
        <f t="shared" si="89"/>
        <v>6.2805000000000083E-2</v>
      </c>
      <c r="O114" s="565">
        <f t="shared" si="101"/>
        <v>2</v>
      </c>
      <c r="P114" s="688"/>
      <c r="Q114" s="565">
        <f t="shared" si="95"/>
        <v>1.325E-2</v>
      </c>
      <c r="R114" s="565"/>
      <c r="S114" s="566"/>
      <c r="T114" s="685">
        <f t="shared" si="90"/>
        <v>0</v>
      </c>
      <c r="U114" s="685">
        <f t="shared" si="96"/>
        <v>0</v>
      </c>
      <c r="V114" s="685">
        <f t="shared" si="97"/>
        <v>0</v>
      </c>
      <c r="W114" s="684">
        <f t="shared" si="98"/>
        <v>6.2805000000000083E-2</v>
      </c>
      <c r="X114" s="682">
        <f t="shared" si="91"/>
        <v>0</v>
      </c>
      <c r="Y114" s="552"/>
      <c r="Z114" s="552"/>
      <c r="AA114" s="155"/>
    </row>
    <row r="115" spans="1:27" s="107" customFormat="1" x14ac:dyDescent="0.25">
      <c r="A115" s="567" t="s">
        <v>258</v>
      </c>
      <c r="B115" s="566">
        <f>SUM(B103:B114)</f>
        <v>0</v>
      </c>
      <c r="C115" s="565"/>
      <c r="D115" s="566">
        <f>SUM(D103:D114)</f>
        <v>0</v>
      </c>
      <c r="E115" s="565"/>
      <c r="F115" s="566">
        <f>SUM(F103:F114)</f>
        <v>0</v>
      </c>
      <c r="G115" s="565"/>
      <c r="H115" s="566">
        <f>SUM(H103:H114)</f>
        <v>1.4400000000000004</v>
      </c>
      <c r="I115" s="565"/>
      <c r="J115" s="566">
        <f>SUM(J103:J114)</f>
        <v>0</v>
      </c>
      <c r="K115" s="566">
        <f>SUM(K103:K114)</f>
        <v>0</v>
      </c>
      <c r="L115" s="565"/>
      <c r="M115" s="566">
        <f>SUM(M103:M114)</f>
        <v>0</v>
      </c>
      <c r="N115" s="566">
        <f>SUM(N103:N114)</f>
        <v>0.80613000000000079</v>
      </c>
      <c r="O115" s="565"/>
      <c r="P115" s="566">
        <f>SUM(P103:P114)</f>
        <v>0</v>
      </c>
      <c r="Q115" s="566">
        <f>SUM(Q103:Q114)</f>
        <v>0.15900000000000003</v>
      </c>
      <c r="R115" s="566"/>
      <c r="S115" s="566">
        <f>N115+Q115</f>
        <v>0.96513000000000082</v>
      </c>
      <c r="T115" s="566">
        <f>SUM(T103:T114)</f>
        <v>0</v>
      </c>
      <c r="U115" s="566">
        <f>SUM(U103:U114)</f>
        <v>0</v>
      </c>
      <c r="V115" s="566">
        <f>SUM(V103:V114)</f>
        <v>0</v>
      </c>
      <c r="W115" s="566">
        <f>SUM(W103:W114)</f>
        <v>0.80613000000000079</v>
      </c>
      <c r="X115" s="566">
        <f>SUM(X103:X114)</f>
        <v>0</v>
      </c>
      <c r="Y115" s="552"/>
      <c r="Z115" s="552"/>
      <c r="AA115" s="155"/>
    </row>
    <row r="116" spans="1:27" s="107" customFormat="1" x14ac:dyDescent="0.25">
      <c r="A116" s="106">
        <f>'Oper.St.'!J11</f>
        <v>2027</v>
      </c>
      <c r="B116" s="1011">
        <f>A116</f>
        <v>2027</v>
      </c>
      <c r="C116" s="1011">
        <f>B116</f>
        <v>2027</v>
      </c>
      <c r="D116" s="1011">
        <f t="shared" ref="D116:X116" si="102">C116</f>
        <v>2027</v>
      </c>
      <c r="E116" s="1011">
        <f t="shared" si="102"/>
        <v>2027</v>
      </c>
      <c r="F116" s="1011">
        <f t="shared" si="102"/>
        <v>2027</v>
      </c>
      <c r="G116" s="1011">
        <f t="shared" si="102"/>
        <v>2027</v>
      </c>
      <c r="H116" s="1011">
        <f t="shared" si="102"/>
        <v>2027</v>
      </c>
      <c r="I116" s="1011">
        <f t="shared" si="102"/>
        <v>2027</v>
      </c>
      <c r="J116" s="1011"/>
      <c r="K116" s="1011">
        <f>I116</f>
        <v>2027</v>
      </c>
      <c r="L116" s="1011">
        <f t="shared" si="102"/>
        <v>2027</v>
      </c>
      <c r="M116" s="1011">
        <f t="shared" si="102"/>
        <v>2027</v>
      </c>
      <c r="N116" s="1011">
        <f t="shared" si="102"/>
        <v>2027</v>
      </c>
      <c r="O116" s="1011">
        <f t="shared" si="102"/>
        <v>2027</v>
      </c>
      <c r="P116" s="1011">
        <f t="shared" si="102"/>
        <v>2027</v>
      </c>
      <c r="Q116" s="1011">
        <f>O116</f>
        <v>2027</v>
      </c>
      <c r="R116" s="1011">
        <f t="shared" si="102"/>
        <v>2027</v>
      </c>
      <c r="S116" s="1011">
        <f t="shared" si="102"/>
        <v>2027</v>
      </c>
      <c r="T116" s="1011">
        <f t="shared" si="102"/>
        <v>2027</v>
      </c>
      <c r="U116" s="1011">
        <f t="shared" si="102"/>
        <v>2027</v>
      </c>
      <c r="V116" s="1011">
        <f t="shared" si="102"/>
        <v>2027</v>
      </c>
      <c r="W116" s="1011">
        <f t="shared" si="102"/>
        <v>2027</v>
      </c>
      <c r="X116" s="1011">
        <f t="shared" si="102"/>
        <v>2027</v>
      </c>
      <c r="Y116" s="552"/>
      <c r="Z116" s="552"/>
      <c r="AA116" s="155"/>
    </row>
    <row r="117" spans="1:27" s="107" customFormat="1" x14ac:dyDescent="0.25">
      <c r="A117" s="95" t="s">
        <v>472</v>
      </c>
      <c r="B117" s="159"/>
      <c r="C117" s="565">
        <f>C114-B114</f>
        <v>0</v>
      </c>
      <c r="D117" s="159"/>
      <c r="E117" s="565">
        <f>E114-D114</f>
        <v>0</v>
      </c>
      <c r="F117" s="159"/>
      <c r="G117" s="565">
        <f>G114-F114</f>
        <v>0</v>
      </c>
      <c r="H117" s="548">
        <v>0.15</v>
      </c>
      <c r="I117" s="565">
        <f>I114-H114+J117</f>
        <v>9.3600000000000136</v>
      </c>
      <c r="J117" s="548"/>
      <c r="K117" s="688"/>
      <c r="L117" s="565">
        <f>L114-K114+M117</f>
        <v>0</v>
      </c>
      <c r="M117" s="688"/>
      <c r="N117" s="565">
        <f t="shared" ref="N117:N128" si="103">T117+U117+V117+W117+X117</f>
        <v>6.2010000000000086E-2</v>
      </c>
      <c r="O117" s="565">
        <f>O114+P117</f>
        <v>2</v>
      </c>
      <c r="P117" s="688"/>
      <c r="Q117" s="565">
        <f>O117*$Q$16/100/12*$R$16/100</f>
        <v>1.325E-2</v>
      </c>
      <c r="R117" s="565"/>
      <c r="S117" s="566"/>
      <c r="T117" s="685">
        <f t="shared" ref="T117:T128" si="104">C117*$C$17/100/12</f>
        <v>0</v>
      </c>
      <c r="U117" s="685">
        <f>E117*$E$17/100/12</f>
        <v>0</v>
      </c>
      <c r="V117" s="685">
        <f>G117*$G$17/100/12</f>
        <v>0</v>
      </c>
      <c r="W117" s="684">
        <f>I117*$I$17/100/12</f>
        <v>6.2010000000000086E-2</v>
      </c>
      <c r="X117" s="682">
        <f t="shared" ref="X117:X128" si="105">L117*$L$17/100/12</f>
        <v>0</v>
      </c>
      <c r="Y117" s="552"/>
      <c r="Z117" s="552"/>
      <c r="AA117" s="155"/>
    </row>
    <row r="118" spans="1:27" s="107" customFormat="1" x14ac:dyDescent="0.25">
      <c r="A118" s="95" t="s">
        <v>473</v>
      </c>
      <c r="B118" s="159"/>
      <c r="C118" s="565">
        <f t="shared" ref="C118:C128" si="106">C117-B117</f>
        <v>0</v>
      </c>
      <c r="D118" s="159"/>
      <c r="E118" s="565">
        <f t="shared" ref="E118:E128" si="107">E117-D117</f>
        <v>0</v>
      </c>
      <c r="F118" s="159"/>
      <c r="G118" s="565">
        <f t="shared" ref="G118:G128" si="108">G117-F117</f>
        <v>0</v>
      </c>
      <c r="H118" s="548">
        <v>0.15</v>
      </c>
      <c r="I118" s="565">
        <f>I117-H117+J118</f>
        <v>9.2100000000000133</v>
      </c>
      <c r="J118" s="548"/>
      <c r="K118" s="688"/>
      <c r="L118" s="565">
        <f>L117-K117+M118</f>
        <v>0</v>
      </c>
      <c r="M118" s="688"/>
      <c r="N118" s="565">
        <f t="shared" si="103"/>
        <v>6.1016250000000098E-2</v>
      </c>
      <c r="O118" s="565">
        <f>O117+P118</f>
        <v>2</v>
      </c>
      <c r="P118" s="688"/>
      <c r="Q118" s="565">
        <f t="shared" ref="Q118:Q128" si="109">O118*$Q$16/100/12*$R$16/100</f>
        <v>1.325E-2</v>
      </c>
      <c r="R118" s="565"/>
      <c r="S118" s="566"/>
      <c r="T118" s="685">
        <f t="shared" si="104"/>
        <v>0</v>
      </c>
      <c r="U118" s="685">
        <f t="shared" ref="U118:U128" si="110">E118*$E$17/100/12</f>
        <v>0</v>
      </c>
      <c r="V118" s="685">
        <f t="shared" ref="V118:V128" si="111">G118*$G$17/100/12</f>
        <v>0</v>
      </c>
      <c r="W118" s="684">
        <f t="shared" ref="W118:W128" si="112">I118*$I$17/100/12</f>
        <v>6.1016250000000098E-2</v>
      </c>
      <c r="X118" s="682">
        <f t="shared" si="105"/>
        <v>0</v>
      </c>
      <c r="Y118" s="552"/>
      <c r="Z118" s="552"/>
      <c r="AA118" s="155"/>
    </row>
    <row r="119" spans="1:27" s="107" customFormat="1" x14ac:dyDescent="0.25">
      <c r="A119" s="95" t="s">
        <v>474</v>
      </c>
      <c r="B119" s="159"/>
      <c r="C119" s="565">
        <f t="shared" si="106"/>
        <v>0</v>
      </c>
      <c r="D119" s="159"/>
      <c r="E119" s="565">
        <f t="shared" si="107"/>
        <v>0</v>
      </c>
      <c r="F119" s="159"/>
      <c r="G119" s="565">
        <f t="shared" si="108"/>
        <v>0</v>
      </c>
      <c r="H119" s="548">
        <v>0.15</v>
      </c>
      <c r="I119" s="565">
        <f t="shared" ref="I119:I128" si="113">I118-H118+J119</f>
        <v>9.0600000000000129</v>
      </c>
      <c r="J119" s="548"/>
      <c r="K119" s="688"/>
      <c r="L119" s="565">
        <f t="shared" ref="L119:L128" si="114">L118-K118+M119</f>
        <v>0</v>
      </c>
      <c r="M119" s="688"/>
      <c r="N119" s="565">
        <f t="shared" si="103"/>
        <v>6.0022500000000083E-2</v>
      </c>
      <c r="O119" s="565">
        <f t="shared" ref="O119:O128" si="115">O118+P119</f>
        <v>2</v>
      </c>
      <c r="P119" s="688"/>
      <c r="Q119" s="565">
        <f t="shared" si="109"/>
        <v>1.325E-2</v>
      </c>
      <c r="R119" s="565"/>
      <c r="S119" s="566"/>
      <c r="T119" s="685">
        <f t="shared" si="104"/>
        <v>0</v>
      </c>
      <c r="U119" s="685">
        <f t="shared" si="110"/>
        <v>0</v>
      </c>
      <c r="V119" s="685">
        <f t="shared" si="111"/>
        <v>0</v>
      </c>
      <c r="W119" s="684">
        <f t="shared" si="112"/>
        <v>6.0022500000000083E-2</v>
      </c>
      <c r="X119" s="682">
        <f t="shared" si="105"/>
        <v>0</v>
      </c>
      <c r="Y119" s="552"/>
      <c r="Z119" s="552"/>
      <c r="AA119" s="155"/>
    </row>
    <row r="120" spans="1:27" s="107" customFormat="1" x14ac:dyDescent="0.25">
      <c r="A120" s="95" t="s">
        <v>475</v>
      </c>
      <c r="B120" s="159"/>
      <c r="C120" s="565">
        <f t="shared" si="106"/>
        <v>0</v>
      </c>
      <c r="D120" s="159"/>
      <c r="E120" s="565">
        <f t="shared" si="107"/>
        <v>0</v>
      </c>
      <c r="F120" s="159"/>
      <c r="G120" s="565">
        <f t="shared" si="108"/>
        <v>0</v>
      </c>
      <c r="H120" s="548">
        <v>0.15</v>
      </c>
      <c r="I120" s="565">
        <f t="shared" si="113"/>
        <v>8.9100000000000126</v>
      </c>
      <c r="J120" s="548"/>
      <c r="K120" s="688"/>
      <c r="L120" s="565">
        <f t="shared" si="114"/>
        <v>0</v>
      </c>
      <c r="M120" s="688"/>
      <c r="N120" s="565">
        <f t="shared" si="103"/>
        <v>5.9028750000000081E-2</v>
      </c>
      <c r="O120" s="565">
        <f t="shared" si="115"/>
        <v>2</v>
      </c>
      <c r="P120" s="688"/>
      <c r="Q120" s="565">
        <f t="shared" si="109"/>
        <v>1.325E-2</v>
      </c>
      <c r="R120" s="565"/>
      <c r="S120" s="566"/>
      <c r="T120" s="685">
        <f t="shared" si="104"/>
        <v>0</v>
      </c>
      <c r="U120" s="685">
        <f t="shared" si="110"/>
        <v>0</v>
      </c>
      <c r="V120" s="685">
        <f t="shared" si="111"/>
        <v>0</v>
      </c>
      <c r="W120" s="684">
        <f t="shared" si="112"/>
        <v>5.9028750000000081E-2</v>
      </c>
      <c r="X120" s="682">
        <f t="shared" si="105"/>
        <v>0</v>
      </c>
      <c r="Y120" s="552"/>
      <c r="Z120" s="552"/>
      <c r="AA120" s="155"/>
    </row>
    <row r="121" spans="1:27" s="107" customFormat="1" x14ac:dyDescent="0.25">
      <c r="A121" s="95" t="s">
        <v>476</v>
      </c>
      <c r="B121" s="159"/>
      <c r="C121" s="565">
        <f t="shared" si="106"/>
        <v>0</v>
      </c>
      <c r="D121" s="159"/>
      <c r="E121" s="565">
        <f t="shared" si="107"/>
        <v>0</v>
      </c>
      <c r="F121" s="159"/>
      <c r="G121" s="565">
        <f t="shared" si="108"/>
        <v>0</v>
      </c>
      <c r="H121" s="548">
        <v>0.15</v>
      </c>
      <c r="I121" s="565">
        <f t="shared" si="113"/>
        <v>8.7600000000000122</v>
      </c>
      <c r="J121" s="548"/>
      <c r="K121" s="688"/>
      <c r="L121" s="565">
        <f t="shared" si="114"/>
        <v>0</v>
      </c>
      <c r="M121" s="688"/>
      <c r="N121" s="565">
        <f t="shared" si="103"/>
        <v>5.803500000000008E-2</v>
      </c>
      <c r="O121" s="565">
        <f t="shared" si="115"/>
        <v>2</v>
      </c>
      <c r="P121" s="688"/>
      <c r="Q121" s="565">
        <f t="shared" si="109"/>
        <v>1.325E-2</v>
      </c>
      <c r="R121" s="565"/>
      <c r="S121" s="566"/>
      <c r="T121" s="685">
        <f t="shared" si="104"/>
        <v>0</v>
      </c>
      <c r="U121" s="685">
        <f t="shared" si="110"/>
        <v>0</v>
      </c>
      <c r="V121" s="685">
        <f t="shared" si="111"/>
        <v>0</v>
      </c>
      <c r="W121" s="684">
        <f t="shared" si="112"/>
        <v>5.803500000000008E-2</v>
      </c>
      <c r="X121" s="682">
        <f t="shared" si="105"/>
        <v>0</v>
      </c>
      <c r="Y121" s="552"/>
      <c r="Z121" s="552"/>
      <c r="AA121" s="155"/>
    </row>
    <row r="122" spans="1:27" s="107" customFormat="1" x14ac:dyDescent="0.25">
      <c r="A122" s="95" t="s">
        <v>477</v>
      </c>
      <c r="B122" s="159"/>
      <c r="C122" s="565">
        <f t="shared" si="106"/>
        <v>0</v>
      </c>
      <c r="D122" s="159"/>
      <c r="E122" s="565">
        <f t="shared" si="107"/>
        <v>0</v>
      </c>
      <c r="F122" s="159"/>
      <c r="G122" s="565">
        <f t="shared" si="108"/>
        <v>0</v>
      </c>
      <c r="H122" s="548">
        <v>0.15</v>
      </c>
      <c r="I122" s="565">
        <f t="shared" si="113"/>
        <v>8.6100000000000119</v>
      </c>
      <c r="J122" s="548"/>
      <c r="K122" s="688"/>
      <c r="L122" s="565">
        <f t="shared" si="114"/>
        <v>0</v>
      </c>
      <c r="M122" s="688"/>
      <c r="N122" s="565">
        <f t="shared" si="103"/>
        <v>5.7041250000000078E-2</v>
      </c>
      <c r="O122" s="565">
        <f t="shared" si="115"/>
        <v>2</v>
      </c>
      <c r="P122" s="688"/>
      <c r="Q122" s="565">
        <f t="shared" si="109"/>
        <v>1.325E-2</v>
      </c>
      <c r="R122" s="565"/>
      <c r="S122" s="566"/>
      <c r="T122" s="685">
        <f t="shared" si="104"/>
        <v>0</v>
      </c>
      <c r="U122" s="685">
        <f t="shared" si="110"/>
        <v>0</v>
      </c>
      <c r="V122" s="685">
        <f t="shared" si="111"/>
        <v>0</v>
      </c>
      <c r="W122" s="684">
        <f t="shared" si="112"/>
        <v>5.7041250000000078E-2</v>
      </c>
      <c r="X122" s="682">
        <f t="shared" si="105"/>
        <v>0</v>
      </c>
      <c r="Y122" s="552"/>
      <c r="Z122" s="552"/>
      <c r="AA122" s="155"/>
    </row>
    <row r="123" spans="1:27" s="107" customFormat="1" x14ac:dyDescent="0.25">
      <c r="A123" s="95" t="s">
        <v>478</v>
      </c>
      <c r="B123" s="159"/>
      <c r="C123" s="565">
        <f t="shared" si="106"/>
        <v>0</v>
      </c>
      <c r="D123" s="159"/>
      <c r="E123" s="565">
        <f t="shared" si="107"/>
        <v>0</v>
      </c>
      <c r="F123" s="159"/>
      <c r="G123" s="565">
        <f t="shared" si="108"/>
        <v>0</v>
      </c>
      <c r="H123" s="548">
        <v>0.15</v>
      </c>
      <c r="I123" s="565">
        <f t="shared" si="113"/>
        <v>8.4600000000000115</v>
      </c>
      <c r="J123" s="548"/>
      <c r="K123" s="688"/>
      <c r="L123" s="565">
        <f t="shared" si="114"/>
        <v>0</v>
      </c>
      <c r="M123" s="688"/>
      <c r="N123" s="565">
        <f t="shared" si="103"/>
        <v>5.6047500000000076E-2</v>
      </c>
      <c r="O123" s="565">
        <f t="shared" si="115"/>
        <v>2</v>
      </c>
      <c r="P123" s="688"/>
      <c r="Q123" s="565">
        <f t="shared" si="109"/>
        <v>1.325E-2</v>
      </c>
      <c r="R123" s="565"/>
      <c r="S123" s="566"/>
      <c r="T123" s="685">
        <f t="shared" si="104"/>
        <v>0</v>
      </c>
      <c r="U123" s="685">
        <f t="shared" si="110"/>
        <v>0</v>
      </c>
      <c r="V123" s="685">
        <f t="shared" si="111"/>
        <v>0</v>
      </c>
      <c r="W123" s="684">
        <f t="shared" si="112"/>
        <v>5.6047500000000076E-2</v>
      </c>
      <c r="X123" s="682">
        <f t="shared" si="105"/>
        <v>0</v>
      </c>
      <c r="Y123" s="552"/>
      <c r="Z123" s="552"/>
      <c r="AA123" s="155"/>
    </row>
    <row r="124" spans="1:27" s="107" customFormat="1" x14ac:dyDescent="0.25">
      <c r="A124" s="95" t="s">
        <v>479</v>
      </c>
      <c r="B124" s="159"/>
      <c r="C124" s="565">
        <f t="shared" si="106"/>
        <v>0</v>
      </c>
      <c r="D124" s="159"/>
      <c r="E124" s="565">
        <f t="shared" si="107"/>
        <v>0</v>
      </c>
      <c r="F124" s="159"/>
      <c r="G124" s="565">
        <f t="shared" si="108"/>
        <v>0</v>
      </c>
      <c r="H124" s="548">
        <v>0.15</v>
      </c>
      <c r="I124" s="565">
        <f t="shared" si="113"/>
        <v>8.3100000000000112</v>
      </c>
      <c r="J124" s="548"/>
      <c r="K124" s="688"/>
      <c r="L124" s="565">
        <f t="shared" si="114"/>
        <v>0</v>
      </c>
      <c r="M124" s="688"/>
      <c r="N124" s="565">
        <f t="shared" si="103"/>
        <v>5.5053750000000075E-2</v>
      </c>
      <c r="O124" s="565">
        <f t="shared" si="115"/>
        <v>2</v>
      </c>
      <c r="P124" s="688"/>
      <c r="Q124" s="565">
        <f t="shared" si="109"/>
        <v>1.325E-2</v>
      </c>
      <c r="R124" s="565"/>
      <c r="S124" s="566"/>
      <c r="T124" s="685">
        <f t="shared" si="104"/>
        <v>0</v>
      </c>
      <c r="U124" s="685">
        <f t="shared" si="110"/>
        <v>0</v>
      </c>
      <c r="V124" s="685">
        <f t="shared" si="111"/>
        <v>0</v>
      </c>
      <c r="W124" s="684">
        <f t="shared" si="112"/>
        <v>5.5053750000000075E-2</v>
      </c>
      <c r="X124" s="682">
        <f t="shared" si="105"/>
        <v>0</v>
      </c>
      <c r="Y124" s="552"/>
      <c r="Z124" s="552"/>
      <c r="AA124" s="155"/>
    </row>
    <row r="125" spans="1:27" s="107" customFormat="1" x14ac:dyDescent="0.25">
      <c r="A125" s="95" t="s">
        <v>480</v>
      </c>
      <c r="B125" s="159"/>
      <c r="C125" s="565">
        <f t="shared" si="106"/>
        <v>0</v>
      </c>
      <c r="D125" s="159"/>
      <c r="E125" s="565">
        <f t="shared" si="107"/>
        <v>0</v>
      </c>
      <c r="F125" s="159"/>
      <c r="G125" s="565">
        <f t="shared" si="108"/>
        <v>0</v>
      </c>
      <c r="H125" s="548">
        <v>0.15</v>
      </c>
      <c r="I125" s="565">
        <f t="shared" si="113"/>
        <v>8.1600000000000108</v>
      </c>
      <c r="J125" s="548"/>
      <c r="K125" s="688"/>
      <c r="L125" s="565">
        <f t="shared" si="114"/>
        <v>0</v>
      </c>
      <c r="M125" s="688"/>
      <c r="N125" s="565">
        <f t="shared" si="103"/>
        <v>5.4060000000000073E-2</v>
      </c>
      <c r="O125" s="565">
        <f t="shared" si="115"/>
        <v>2</v>
      </c>
      <c r="P125" s="688"/>
      <c r="Q125" s="565">
        <f t="shared" si="109"/>
        <v>1.325E-2</v>
      </c>
      <c r="R125" s="565"/>
      <c r="S125" s="566"/>
      <c r="T125" s="685">
        <f t="shared" si="104"/>
        <v>0</v>
      </c>
      <c r="U125" s="685">
        <f t="shared" si="110"/>
        <v>0</v>
      </c>
      <c r="V125" s="685">
        <f t="shared" si="111"/>
        <v>0</v>
      </c>
      <c r="W125" s="684">
        <f t="shared" si="112"/>
        <v>5.4060000000000073E-2</v>
      </c>
      <c r="X125" s="682">
        <f t="shared" si="105"/>
        <v>0</v>
      </c>
      <c r="Y125" s="552"/>
      <c r="Z125" s="552"/>
      <c r="AA125" s="155"/>
    </row>
    <row r="126" spans="1:27" s="107" customFormat="1" x14ac:dyDescent="0.25">
      <c r="A126" s="95" t="s">
        <v>481</v>
      </c>
      <c r="B126" s="159"/>
      <c r="C126" s="565">
        <f t="shared" si="106"/>
        <v>0</v>
      </c>
      <c r="D126" s="159"/>
      <c r="E126" s="565">
        <f t="shared" si="107"/>
        <v>0</v>
      </c>
      <c r="F126" s="159"/>
      <c r="G126" s="565">
        <f t="shared" si="108"/>
        <v>0</v>
      </c>
      <c r="H126" s="548">
        <v>0.15</v>
      </c>
      <c r="I126" s="565">
        <f t="shared" si="113"/>
        <v>8.0100000000000104</v>
      </c>
      <c r="J126" s="548"/>
      <c r="K126" s="688"/>
      <c r="L126" s="565">
        <f t="shared" si="114"/>
        <v>0</v>
      </c>
      <c r="M126" s="688"/>
      <c r="N126" s="565">
        <f t="shared" si="103"/>
        <v>5.3066250000000065E-2</v>
      </c>
      <c r="O126" s="565">
        <f t="shared" si="115"/>
        <v>2</v>
      </c>
      <c r="P126" s="688"/>
      <c r="Q126" s="565">
        <f t="shared" si="109"/>
        <v>1.325E-2</v>
      </c>
      <c r="R126" s="565"/>
      <c r="S126" s="566"/>
      <c r="T126" s="685">
        <f t="shared" si="104"/>
        <v>0</v>
      </c>
      <c r="U126" s="685">
        <f t="shared" si="110"/>
        <v>0</v>
      </c>
      <c r="V126" s="685">
        <f t="shared" si="111"/>
        <v>0</v>
      </c>
      <c r="W126" s="684">
        <f t="shared" si="112"/>
        <v>5.3066250000000065E-2</v>
      </c>
      <c r="X126" s="682">
        <f t="shared" si="105"/>
        <v>0</v>
      </c>
      <c r="Y126" s="552"/>
      <c r="Z126" s="552"/>
      <c r="AA126" s="155"/>
    </row>
    <row r="127" spans="1:27" s="107" customFormat="1" x14ac:dyDescent="0.25">
      <c r="A127" s="95" t="s">
        <v>482</v>
      </c>
      <c r="B127" s="159"/>
      <c r="C127" s="565">
        <f t="shared" si="106"/>
        <v>0</v>
      </c>
      <c r="D127" s="159"/>
      <c r="E127" s="565">
        <f t="shared" si="107"/>
        <v>0</v>
      </c>
      <c r="F127" s="159"/>
      <c r="G127" s="565">
        <f t="shared" si="108"/>
        <v>0</v>
      </c>
      <c r="H127" s="548">
        <v>0.15</v>
      </c>
      <c r="I127" s="565">
        <f t="shared" si="113"/>
        <v>7.8600000000000101</v>
      </c>
      <c r="J127" s="548"/>
      <c r="K127" s="688"/>
      <c r="L127" s="565">
        <f t="shared" si="114"/>
        <v>0</v>
      </c>
      <c r="M127" s="688"/>
      <c r="N127" s="565">
        <f t="shared" si="103"/>
        <v>5.207250000000007E-2</v>
      </c>
      <c r="O127" s="565">
        <f t="shared" si="115"/>
        <v>2</v>
      </c>
      <c r="P127" s="688"/>
      <c r="Q127" s="565">
        <f t="shared" si="109"/>
        <v>1.325E-2</v>
      </c>
      <c r="R127" s="565"/>
      <c r="S127" s="566"/>
      <c r="T127" s="685">
        <f t="shared" si="104"/>
        <v>0</v>
      </c>
      <c r="U127" s="685">
        <f t="shared" si="110"/>
        <v>0</v>
      </c>
      <c r="V127" s="685">
        <f t="shared" si="111"/>
        <v>0</v>
      </c>
      <c r="W127" s="684">
        <f t="shared" si="112"/>
        <v>5.207250000000007E-2</v>
      </c>
      <c r="X127" s="682">
        <f t="shared" si="105"/>
        <v>0</v>
      </c>
      <c r="Y127" s="552"/>
      <c r="Z127" s="552"/>
      <c r="AA127" s="155"/>
    </row>
    <row r="128" spans="1:27" x14ac:dyDescent="0.25">
      <c r="A128" s="95" t="s">
        <v>483</v>
      </c>
      <c r="B128" s="159"/>
      <c r="C128" s="565">
        <f t="shared" si="106"/>
        <v>0</v>
      </c>
      <c r="D128" s="159"/>
      <c r="E128" s="565">
        <f t="shared" si="107"/>
        <v>0</v>
      </c>
      <c r="F128" s="159"/>
      <c r="G128" s="565">
        <f t="shared" si="108"/>
        <v>0</v>
      </c>
      <c r="H128" s="548">
        <v>0.15</v>
      </c>
      <c r="I128" s="565">
        <f t="shared" si="113"/>
        <v>7.7100000000000097</v>
      </c>
      <c r="J128" s="548"/>
      <c r="K128" s="688"/>
      <c r="L128" s="565">
        <f t="shared" si="114"/>
        <v>0</v>
      </c>
      <c r="M128" s="688"/>
      <c r="N128" s="565">
        <f t="shared" si="103"/>
        <v>5.1078750000000062E-2</v>
      </c>
      <c r="O128" s="565">
        <f t="shared" si="115"/>
        <v>2</v>
      </c>
      <c r="P128" s="688"/>
      <c r="Q128" s="565">
        <f t="shared" si="109"/>
        <v>1.325E-2</v>
      </c>
      <c r="R128" s="565"/>
      <c r="S128" s="566"/>
      <c r="T128" s="685">
        <f t="shared" si="104"/>
        <v>0</v>
      </c>
      <c r="U128" s="685">
        <f t="shared" si="110"/>
        <v>0</v>
      </c>
      <c r="V128" s="685">
        <f t="shared" si="111"/>
        <v>0</v>
      </c>
      <c r="W128" s="684">
        <f t="shared" si="112"/>
        <v>5.1078750000000062E-2</v>
      </c>
      <c r="X128" s="682">
        <f t="shared" si="105"/>
        <v>0</v>
      </c>
      <c r="Y128" s="552"/>
      <c r="Z128" s="552"/>
      <c r="AA128" s="150"/>
    </row>
    <row r="129" spans="1:27" x14ac:dyDescent="0.25">
      <c r="A129" s="567" t="s">
        <v>258</v>
      </c>
      <c r="B129" s="566">
        <f>SUM(B117:B128)</f>
        <v>0</v>
      </c>
      <c r="C129" s="565"/>
      <c r="D129" s="566">
        <f>SUM(D117:D128)</f>
        <v>0</v>
      </c>
      <c r="E129" s="565"/>
      <c r="F129" s="566">
        <f>SUM(F117:F128)</f>
        <v>0</v>
      </c>
      <c r="G129" s="565"/>
      <c r="H129" s="566">
        <f>SUM(H117:H128)</f>
        <v>1.7999999999999996</v>
      </c>
      <c r="I129" s="565"/>
      <c r="J129" s="566">
        <f>SUM(J117:J128)</f>
        <v>0</v>
      </c>
      <c r="K129" s="566">
        <f>SUM(K117:K128)</f>
        <v>0</v>
      </c>
      <c r="L129" s="565"/>
      <c r="M129" s="566">
        <f>SUM(M117:M128)</f>
        <v>0</v>
      </c>
      <c r="N129" s="566">
        <f>SUM(N117:N128)</f>
        <v>0.67853250000000098</v>
      </c>
      <c r="O129" s="565"/>
      <c r="P129" s="566">
        <f>SUM(P117:P128)</f>
        <v>0</v>
      </c>
      <c r="Q129" s="566">
        <f>SUM(Q117:Q128)</f>
        <v>0.15900000000000003</v>
      </c>
      <c r="R129" s="566"/>
      <c r="S129" s="566">
        <f>N129+Q129</f>
        <v>0.83753250000000101</v>
      </c>
      <c r="T129" s="566">
        <f>SUM(T117:T128)</f>
        <v>0</v>
      </c>
      <c r="U129" s="566">
        <f>SUM(U117:U128)</f>
        <v>0</v>
      </c>
      <c r="V129" s="566">
        <f>SUM(V117:V128)</f>
        <v>0</v>
      </c>
      <c r="W129" s="566">
        <f>SUM(W117:W128)</f>
        <v>0.67853250000000098</v>
      </c>
      <c r="X129" s="566">
        <f>SUM(X117:X128)</f>
        <v>0</v>
      </c>
      <c r="Y129" s="552"/>
      <c r="Z129" s="552"/>
      <c r="AA129" s="150"/>
    </row>
    <row r="130" spans="1:27" x14ac:dyDescent="0.25">
      <c r="A130" s="106">
        <f>'Oper.St.'!K11</f>
        <v>2028</v>
      </c>
      <c r="B130" s="1011">
        <f>A130</f>
        <v>2028</v>
      </c>
      <c r="C130" s="1011">
        <f>B130</f>
        <v>2028</v>
      </c>
      <c r="D130" s="1011">
        <f t="shared" ref="D130:X130" si="116">C130</f>
        <v>2028</v>
      </c>
      <c r="E130" s="1011">
        <f t="shared" si="116"/>
        <v>2028</v>
      </c>
      <c r="F130" s="1011">
        <f t="shared" si="116"/>
        <v>2028</v>
      </c>
      <c r="G130" s="1011">
        <f t="shared" si="116"/>
        <v>2028</v>
      </c>
      <c r="H130" s="1011">
        <f t="shared" si="116"/>
        <v>2028</v>
      </c>
      <c r="I130" s="1011">
        <f t="shared" si="116"/>
        <v>2028</v>
      </c>
      <c r="J130" s="1011"/>
      <c r="K130" s="1011">
        <f>I130</f>
        <v>2028</v>
      </c>
      <c r="L130" s="1011">
        <f t="shared" si="116"/>
        <v>2028</v>
      </c>
      <c r="M130" s="1011">
        <f t="shared" si="116"/>
        <v>2028</v>
      </c>
      <c r="N130" s="1011">
        <f t="shared" si="116"/>
        <v>2028</v>
      </c>
      <c r="O130" s="1011">
        <f t="shared" si="116"/>
        <v>2028</v>
      </c>
      <c r="P130" s="1011">
        <f t="shared" si="116"/>
        <v>2028</v>
      </c>
      <c r="Q130" s="1011">
        <f>O130</f>
        <v>2028</v>
      </c>
      <c r="R130" s="1011">
        <f t="shared" si="116"/>
        <v>2028</v>
      </c>
      <c r="S130" s="1011">
        <f t="shared" si="116"/>
        <v>2028</v>
      </c>
      <c r="T130" s="1011">
        <f t="shared" si="116"/>
        <v>2028</v>
      </c>
      <c r="U130" s="1011">
        <f t="shared" si="116"/>
        <v>2028</v>
      </c>
      <c r="V130" s="1011">
        <f t="shared" si="116"/>
        <v>2028</v>
      </c>
      <c r="W130" s="1011">
        <f t="shared" si="116"/>
        <v>2028</v>
      </c>
      <c r="X130" s="1011">
        <f t="shared" si="116"/>
        <v>2028</v>
      </c>
      <c r="Y130" s="552"/>
      <c r="Z130" s="552"/>
      <c r="AA130" s="150"/>
    </row>
    <row r="131" spans="1:27" x14ac:dyDescent="0.25">
      <c r="A131" s="95" t="s">
        <v>472</v>
      </c>
      <c r="B131" s="159"/>
      <c r="C131" s="565">
        <f>C128-B128</f>
        <v>0</v>
      </c>
      <c r="D131" s="159"/>
      <c r="E131" s="565">
        <f>E128-D128</f>
        <v>0</v>
      </c>
      <c r="F131" s="159"/>
      <c r="G131" s="565">
        <f>G128-F128</f>
        <v>0</v>
      </c>
      <c r="H131" s="548">
        <v>0.18</v>
      </c>
      <c r="I131" s="565">
        <f>I128-H128+J131</f>
        <v>7.5600000000000094</v>
      </c>
      <c r="J131" s="548"/>
      <c r="K131" s="688"/>
      <c r="L131" s="565">
        <f>L128-K128+M131</f>
        <v>0</v>
      </c>
      <c r="M131" s="688"/>
      <c r="N131" s="565">
        <f t="shared" ref="N131:N142" si="117">T131+U131+V131+W131+X131</f>
        <v>5.0085000000000067E-2</v>
      </c>
      <c r="O131" s="565">
        <f>O128+P131</f>
        <v>2</v>
      </c>
      <c r="P131" s="688"/>
      <c r="Q131" s="565">
        <f>O131*$Q$16/100/12*$R$16/100</f>
        <v>1.325E-2</v>
      </c>
      <c r="R131" s="565"/>
      <c r="S131" s="566"/>
      <c r="T131" s="685">
        <f t="shared" ref="T131:T142" si="118">C131*$C$17/100/12</f>
        <v>0</v>
      </c>
      <c r="U131" s="685">
        <f>E131*$E$17/100/12</f>
        <v>0</v>
      </c>
      <c r="V131" s="685">
        <f>G131*$G$17/100/12</f>
        <v>0</v>
      </c>
      <c r="W131" s="684">
        <f>I131*$I$17/100/12</f>
        <v>5.0085000000000067E-2</v>
      </c>
      <c r="X131" s="682">
        <f t="shared" ref="X131:X142" si="119">L131*$L$17/100/12</f>
        <v>0</v>
      </c>
      <c r="Y131" s="552"/>
      <c r="Z131" s="552"/>
      <c r="AA131" s="150"/>
    </row>
    <row r="132" spans="1:27" x14ac:dyDescent="0.25">
      <c r="A132" s="95" t="s">
        <v>473</v>
      </c>
      <c r="B132" s="159"/>
      <c r="C132" s="565">
        <f t="shared" ref="C132:C142" si="120">C131-B131</f>
        <v>0</v>
      </c>
      <c r="D132" s="159"/>
      <c r="E132" s="565">
        <f t="shared" ref="E132:E142" si="121">E131-D131</f>
        <v>0</v>
      </c>
      <c r="F132" s="159"/>
      <c r="G132" s="565">
        <f t="shared" ref="G132:G142" si="122">G131-F131</f>
        <v>0</v>
      </c>
      <c r="H132" s="548">
        <v>0.18</v>
      </c>
      <c r="I132" s="565">
        <f>I131-H131+J132</f>
        <v>7.3800000000000097</v>
      </c>
      <c r="J132" s="548"/>
      <c r="K132" s="688"/>
      <c r="L132" s="565">
        <f>L131-K131+M132</f>
        <v>0</v>
      </c>
      <c r="M132" s="688"/>
      <c r="N132" s="565">
        <f t="shared" si="117"/>
        <v>4.8892500000000061E-2</v>
      </c>
      <c r="O132" s="565">
        <f>O131+P132</f>
        <v>2</v>
      </c>
      <c r="P132" s="688"/>
      <c r="Q132" s="565">
        <f t="shared" ref="Q132:Q142" si="123">O132*$Q$16/100/12*$R$16/100</f>
        <v>1.325E-2</v>
      </c>
      <c r="R132" s="565"/>
      <c r="S132" s="566"/>
      <c r="T132" s="685">
        <f t="shared" si="118"/>
        <v>0</v>
      </c>
      <c r="U132" s="685">
        <f t="shared" ref="U132:U142" si="124">E132*$E$17/100/12</f>
        <v>0</v>
      </c>
      <c r="V132" s="685">
        <f t="shared" ref="V132:V142" si="125">G132*$G$17/100/12</f>
        <v>0</v>
      </c>
      <c r="W132" s="684">
        <f t="shared" ref="W132:W142" si="126">I132*$I$17/100/12</f>
        <v>4.8892500000000061E-2</v>
      </c>
      <c r="X132" s="682">
        <f t="shared" si="119"/>
        <v>0</v>
      </c>
      <c r="Y132" s="552"/>
      <c r="Z132" s="552"/>
      <c r="AA132" s="150"/>
    </row>
    <row r="133" spans="1:27" x14ac:dyDescent="0.25">
      <c r="A133" s="95" t="s">
        <v>474</v>
      </c>
      <c r="B133" s="159"/>
      <c r="C133" s="565">
        <f t="shared" si="120"/>
        <v>0</v>
      </c>
      <c r="D133" s="159"/>
      <c r="E133" s="565">
        <f t="shared" si="121"/>
        <v>0</v>
      </c>
      <c r="F133" s="159"/>
      <c r="G133" s="565">
        <f t="shared" si="122"/>
        <v>0</v>
      </c>
      <c r="H133" s="548">
        <v>0.18</v>
      </c>
      <c r="I133" s="565">
        <f t="shared" ref="I133:I142" si="127">I132-H132+J133</f>
        <v>7.2000000000000099</v>
      </c>
      <c r="J133" s="548"/>
      <c r="K133" s="688"/>
      <c r="L133" s="565">
        <f t="shared" ref="L133:L142" si="128">L132-K132+M133</f>
        <v>0</v>
      </c>
      <c r="M133" s="688"/>
      <c r="N133" s="565">
        <f t="shared" si="117"/>
        <v>4.7700000000000069E-2</v>
      </c>
      <c r="O133" s="565">
        <f t="shared" ref="O133:O142" si="129">O132+P133</f>
        <v>2</v>
      </c>
      <c r="P133" s="688"/>
      <c r="Q133" s="565">
        <f t="shared" si="123"/>
        <v>1.325E-2</v>
      </c>
      <c r="R133" s="565"/>
      <c r="S133" s="566"/>
      <c r="T133" s="685">
        <f t="shared" si="118"/>
        <v>0</v>
      </c>
      <c r="U133" s="685">
        <f t="shared" si="124"/>
        <v>0</v>
      </c>
      <c r="V133" s="685">
        <f t="shared" si="125"/>
        <v>0</v>
      </c>
      <c r="W133" s="684">
        <f t="shared" si="126"/>
        <v>4.7700000000000069E-2</v>
      </c>
      <c r="X133" s="682">
        <f t="shared" si="119"/>
        <v>0</v>
      </c>
      <c r="Y133" s="552"/>
      <c r="Z133" s="552"/>
      <c r="AA133" s="150"/>
    </row>
    <row r="134" spans="1:27" x14ac:dyDescent="0.25">
      <c r="A134" s="95" t="s">
        <v>475</v>
      </c>
      <c r="B134" s="159"/>
      <c r="C134" s="565">
        <f t="shared" si="120"/>
        <v>0</v>
      </c>
      <c r="D134" s="159"/>
      <c r="E134" s="565">
        <f t="shared" si="121"/>
        <v>0</v>
      </c>
      <c r="F134" s="159"/>
      <c r="G134" s="565">
        <f t="shared" si="122"/>
        <v>0</v>
      </c>
      <c r="H134" s="548">
        <v>0.18</v>
      </c>
      <c r="I134" s="565">
        <f t="shared" si="127"/>
        <v>7.0200000000000102</v>
      </c>
      <c r="J134" s="548"/>
      <c r="K134" s="688"/>
      <c r="L134" s="565">
        <f t="shared" si="128"/>
        <v>0</v>
      </c>
      <c r="M134" s="688"/>
      <c r="N134" s="565">
        <f t="shared" si="117"/>
        <v>4.650750000000007E-2</v>
      </c>
      <c r="O134" s="565">
        <f t="shared" si="129"/>
        <v>2</v>
      </c>
      <c r="P134" s="688"/>
      <c r="Q134" s="565">
        <f t="shared" si="123"/>
        <v>1.325E-2</v>
      </c>
      <c r="R134" s="565"/>
      <c r="S134" s="566"/>
      <c r="T134" s="685">
        <f t="shared" si="118"/>
        <v>0</v>
      </c>
      <c r="U134" s="685">
        <f t="shared" si="124"/>
        <v>0</v>
      </c>
      <c r="V134" s="685">
        <f t="shared" si="125"/>
        <v>0</v>
      </c>
      <c r="W134" s="684">
        <f t="shared" si="126"/>
        <v>4.650750000000007E-2</v>
      </c>
      <c r="X134" s="682">
        <f t="shared" si="119"/>
        <v>0</v>
      </c>
      <c r="Y134" s="552"/>
      <c r="Z134" s="552"/>
      <c r="AA134" s="150"/>
    </row>
    <row r="135" spans="1:27" s="94" customFormat="1" x14ac:dyDescent="0.25">
      <c r="A135" s="95" t="s">
        <v>476</v>
      </c>
      <c r="B135" s="159"/>
      <c r="C135" s="565">
        <f t="shared" si="120"/>
        <v>0</v>
      </c>
      <c r="D135" s="159"/>
      <c r="E135" s="565">
        <f t="shared" si="121"/>
        <v>0</v>
      </c>
      <c r="F135" s="159"/>
      <c r="G135" s="565">
        <f t="shared" si="122"/>
        <v>0</v>
      </c>
      <c r="H135" s="548">
        <v>0.18</v>
      </c>
      <c r="I135" s="565">
        <f t="shared" si="127"/>
        <v>6.8400000000000105</v>
      </c>
      <c r="J135" s="548"/>
      <c r="K135" s="688"/>
      <c r="L135" s="565">
        <f t="shared" si="128"/>
        <v>0</v>
      </c>
      <c r="M135" s="688"/>
      <c r="N135" s="565">
        <f t="shared" si="117"/>
        <v>4.5315000000000071E-2</v>
      </c>
      <c r="O135" s="565">
        <f t="shared" si="129"/>
        <v>2</v>
      </c>
      <c r="P135" s="688"/>
      <c r="Q135" s="565">
        <f t="shared" si="123"/>
        <v>1.325E-2</v>
      </c>
      <c r="R135" s="565"/>
      <c r="S135" s="566"/>
      <c r="T135" s="685">
        <f t="shared" si="118"/>
        <v>0</v>
      </c>
      <c r="U135" s="685">
        <f t="shared" si="124"/>
        <v>0</v>
      </c>
      <c r="V135" s="685">
        <f t="shared" si="125"/>
        <v>0</v>
      </c>
      <c r="W135" s="684">
        <f t="shared" si="126"/>
        <v>4.5315000000000071E-2</v>
      </c>
      <c r="X135" s="682">
        <f t="shared" si="119"/>
        <v>0</v>
      </c>
      <c r="Y135" s="552"/>
      <c r="Z135" s="552"/>
      <c r="AA135" s="151"/>
    </row>
    <row r="136" spans="1:27" s="94" customFormat="1" x14ac:dyDescent="0.25">
      <c r="A136" s="95" t="s">
        <v>477</v>
      </c>
      <c r="B136" s="159"/>
      <c r="C136" s="565">
        <f t="shared" si="120"/>
        <v>0</v>
      </c>
      <c r="D136" s="159"/>
      <c r="E136" s="565">
        <f t="shared" si="121"/>
        <v>0</v>
      </c>
      <c r="F136" s="159"/>
      <c r="G136" s="565">
        <f t="shared" si="122"/>
        <v>0</v>
      </c>
      <c r="H136" s="548">
        <v>0.18</v>
      </c>
      <c r="I136" s="565">
        <f t="shared" si="127"/>
        <v>6.6600000000000108</v>
      </c>
      <c r="J136" s="548"/>
      <c r="K136" s="688"/>
      <c r="L136" s="565">
        <f t="shared" si="128"/>
        <v>0</v>
      </c>
      <c r="M136" s="688"/>
      <c r="N136" s="565">
        <f t="shared" si="117"/>
        <v>4.4122500000000071E-2</v>
      </c>
      <c r="O136" s="565">
        <f t="shared" si="129"/>
        <v>2</v>
      </c>
      <c r="P136" s="688"/>
      <c r="Q136" s="565">
        <f t="shared" si="123"/>
        <v>1.325E-2</v>
      </c>
      <c r="R136" s="565"/>
      <c r="S136" s="566"/>
      <c r="T136" s="685">
        <f t="shared" si="118"/>
        <v>0</v>
      </c>
      <c r="U136" s="685">
        <f t="shared" si="124"/>
        <v>0</v>
      </c>
      <c r="V136" s="685">
        <f t="shared" si="125"/>
        <v>0</v>
      </c>
      <c r="W136" s="684">
        <f t="shared" si="126"/>
        <v>4.4122500000000071E-2</v>
      </c>
      <c r="X136" s="682">
        <f t="shared" si="119"/>
        <v>0</v>
      </c>
      <c r="Y136" s="552"/>
      <c r="Z136" s="552"/>
      <c r="AA136" s="151"/>
    </row>
    <row r="137" spans="1:27" s="94" customFormat="1" x14ac:dyDescent="0.25">
      <c r="A137" s="95" t="s">
        <v>478</v>
      </c>
      <c r="B137" s="159"/>
      <c r="C137" s="565">
        <f t="shared" si="120"/>
        <v>0</v>
      </c>
      <c r="D137" s="159"/>
      <c r="E137" s="565">
        <f t="shared" si="121"/>
        <v>0</v>
      </c>
      <c r="F137" s="159"/>
      <c r="G137" s="565">
        <f t="shared" si="122"/>
        <v>0</v>
      </c>
      <c r="H137" s="548">
        <v>0.18</v>
      </c>
      <c r="I137" s="565">
        <f t="shared" si="127"/>
        <v>6.4800000000000111</v>
      </c>
      <c r="J137" s="548"/>
      <c r="K137" s="688"/>
      <c r="L137" s="565">
        <f t="shared" si="128"/>
        <v>0</v>
      </c>
      <c r="M137" s="688"/>
      <c r="N137" s="565">
        <f t="shared" si="117"/>
        <v>4.2930000000000079E-2</v>
      </c>
      <c r="O137" s="565">
        <f t="shared" si="129"/>
        <v>2</v>
      </c>
      <c r="P137" s="688"/>
      <c r="Q137" s="565">
        <f t="shared" si="123"/>
        <v>1.325E-2</v>
      </c>
      <c r="R137" s="565"/>
      <c r="S137" s="566"/>
      <c r="T137" s="685">
        <f t="shared" si="118"/>
        <v>0</v>
      </c>
      <c r="U137" s="685">
        <f t="shared" si="124"/>
        <v>0</v>
      </c>
      <c r="V137" s="685">
        <f t="shared" si="125"/>
        <v>0</v>
      </c>
      <c r="W137" s="684">
        <f t="shared" si="126"/>
        <v>4.2930000000000079E-2</v>
      </c>
      <c r="X137" s="682">
        <f t="shared" si="119"/>
        <v>0</v>
      </c>
      <c r="Y137" s="552"/>
      <c r="Z137" s="552"/>
      <c r="AA137" s="151"/>
    </row>
    <row r="138" spans="1:27" s="94" customFormat="1" x14ac:dyDescent="0.25">
      <c r="A138" s="95" t="s">
        <v>479</v>
      </c>
      <c r="B138" s="159"/>
      <c r="C138" s="565">
        <f t="shared" si="120"/>
        <v>0</v>
      </c>
      <c r="D138" s="159"/>
      <c r="E138" s="565">
        <f t="shared" si="121"/>
        <v>0</v>
      </c>
      <c r="F138" s="159"/>
      <c r="G138" s="565">
        <f t="shared" si="122"/>
        <v>0</v>
      </c>
      <c r="H138" s="548">
        <v>0.18</v>
      </c>
      <c r="I138" s="565">
        <f t="shared" si="127"/>
        <v>6.3000000000000114</v>
      </c>
      <c r="J138" s="548"/>
      <c r="K138" s="688"/>
      <c r="L138" s="565">
        <f t="shared" si="128"/>
        <v>0</v>
      </c>
      <c r="M138" s="688"/>
      <c r="N138" s="565">
        <f t="shared" si="117"/>
        <v>4.1737500000000073E-2</v>
      </c>
      <c r="O138" s="565">
        <f t="shared" si="129"/>
        <v>2</v>
      </c>
      <c r="P138" s="688"/>
      <c r="Q138" s="565">
        <f t="shared" si="123"/>
        <v>1.325E-2</v>
      </c>
      <c r="R138" s="565"/>
      <c r="S138" s="566"/>
      <c r="T138" s="685">
        <f t="shared" si="118"/>
        <v>0</v>
      </c>
      <c r="U138" s="685">
        <f t="shared" si="124"/>
        <v>0</v>
      </c>
      <c r="V138" s="685">
        <f t="shared" si="125"/>
        <v>0</v>
      </c>
      <c r="W138" s="684">
        <f t="shared" si="126"/>
        <v>4.1737500000000073E-2</v>
      </c>
      <c r="X138" s="682">
        <f t="shared" si="119"/>
        <v>0</v>
      </c>
      <c r="Y138" s="552"/>
      <c r="Z138" s="552"/>
      <c r="AA138" s="151"/>
    </row>
    <row r="139" spans="1:27" s="94" customFormat="1" x14ac:dyDescent="0.25">
      <c r="A139" s="95" t="s">
        <v>480</v>
      </c>
      <c r="B139" s="159"/>
      <c r="C139" s="565">
        <f t="shared" si="120"/>
        <v>0</v>
      </c>
      <c r="D139" s="159"/>
      <c r="E139" s="565">
        <f t="shared" si="121"/>
        <v>0</v>
      </c>
      <c r="F139" s="159"/>
      <c r="G139" s="565">
        <f t="shared" si="122"/>
        <v>0</v>
      </c>
      <c r="H139" s="548">
        <v>0.18</v>
      </c>
      <c r="I139" s="565">
        <f t="shared" si="127"/>
        <v>6.1200000000000117</v>
      </c>
      <c r="J139" s="548"/>
      <c r="K139" s="688"/>
      <c r="L139" s="565">
        <f t="shared" si="128"/>
        <v>0</v>
      </c>
      <c r="M139" s="688"/>
      <c r="N139" s="565">
        <f t="shared" si="117"/>
        <v>4.0545000000000081E-2</v>
      </c>
      <c r="O139" s="565">
        <f t="shared" si="129"/>
        <v>2</v>
      </c>
      <c r="P139" s="688"/>
      <c r="Q139" s="565">
        <f t="shared" si="123"/>
        <v>1.325E-2</v>
      </c>
      <c r="R139" s="565"/>
      <c r="S139" s="566"/>
      <c r="T139" s="685">
        <f t="shared" si="118"/>
        <v>0</v>
      </c>
      <c r="U139" s="685">
        <f t="shared" si="124"/>
        <v>0</v>
      </c>
      <c r="V139" s="685">
        <f t="shared" si="125"/>
        <v>0</v>
      </c>
      <c r="W139" s="684">
        <f t="shared" si="126"/>
        <v>4.0545000000000081E-2</v>
      </c>
      <c r="X139" s="682">
        <f t="shared" si="119"/>
        <v>0</v>
      </c>
      <c r="Y139" s="552"/>
      <c r="Z139" s="552"/>
      <c r="AA139" s="151"/>
    </row>
    <row r="140" spans="1:27" s="94" customFormat="1" x14ac:dyDescent="0.25">
      <c r="A140" s="95" t="s">
        <v>481</v>
      </c>
      <c r="B140" s="159"/>
      <c r="C140" s="565">
        <f t="shared" si="120"/>
        <v>0</v>
      </c>
      <c r="D140" s="159"/>
      <c r="E140" s="565">
        <f t="shared" si="121"/>
        <v>0</v>
      </c>
      <c r="F140" s="159"/>
      <c r="G140" s="565">
        <f t="shared" si="122"/>
        <v>0</v>
      </c>
      <c r="H140" s="548">
        <v>0.18</v>
      </c>
      <c r="I140" s="565">
        <f t="shared" si="127"/>
        <v>5.9400000000000119</v>
      </c>
      <c r="J140" s="548"/>
      <c r="K140" s="688"/>
      <c r="L140" s="565">
        <f t="shared" si="128"/>
        <v>0</v>
      </c>
      <c r="M140" s="688"/>
      <c r="N140" s="565">
        <f t="shared" si="117"/>
        <v>3.9352500000000082E-2</v>
      </c>
      <c r="O140" s="565">
        <f t="shared" si="129"/>
        <v>2</v>
      </c>
      <c r="P140" s="688"/>
      <c r="Q140" s="565">
        <f t="shared" si="123"/>
        <v>1.325E-2</v>
      </c>
      <c r="R140" s="565"/>
      <c r="S140" s="566"/>
      <c r="T140" s="685">
        <f t="shared" si="118"/>
        <v>0</v>
      </c>
      <c r="U140" s="685">
        <f t="shared" si="124"/>
        <v>0</v>
      </c>
      <c r="V140" s="685">
        <f t="shared" si="125"/>
        <v>0</v>
      </c>
      <c r="W140" s="684">
        <f t="shared" si="126"/>
        <v>3.9352500000000082E-2</v>
      </c>
      <c r="X140" s="682">
        <f t="shared" si="119"/>
        <v>0</v>
      </c>
      <c r="Y140" s="552"/>
      <c r="Z140" s="552"/>
      <c r="AA140" s="151"/>
    </row>
    <row r="141" spans="1:27" s="94" customFormat="1" x14ac:dyDescent="0.25">
      <c r="A141" s="95" t="s">
        <v>482</v>
      </c>
      <c r="B141" s="159"/>
      <c r="C141" s="565">
        <f t="shared" si="120"/>
        <v>0</v>
      </c>
      <c r="D141" s="159"/>
      <c r="E141" s="565">
        <f t="shared" si="121"/>
        <v>0</v>
      </c>
      <c r="F141" s="159"/>
      <c r="G141" s="565">
        <f t="shared" si="122"/>
        <v>0</v>
      </c>
      <c r="H141" s="548">
        <v>0.18</v>
      </c>
      <c r="I141" s="565">
        <f t="shared" si="127"/>
        <v>5.7600000000000122</v>
      </c>
      <c r="J141" s="548"/>
      <c r="K141" s="688"/>
      <c r="L141" s="565">
        <f t="shared" si="128"/>
        <v>0</v>
      </c>
      <c r="M141" s="688"/>
      <c r="N141" s="565">
        <f t="shared" si="117"/>
        <v>3.8160000000000083E-2</v>
      </c>
      <c r="O141" s="565">
        <f t="shared" si="129"/>
        <v>2</v>
      </c>
      <c r="P141" s="688"/>
      <c r="Q141" s="565">
        <f t="shared" si="123"/>
        <v>1.325E-2</v>
      </c>
      <c r="R141" s="565"/>
      <c r="S141" s="566"/>
      <c r="T141" s="685">
        <f t="shared" si="118"/>
        <v>0</v>
      </c>
      <c r="U141" s="685">
        <f t="shared" si="124"/>
        <v>0</v>
      </c>
      <c r="V141" s="685">
        <f t="shared" si="125"/>
        <v>0</v>
      </c>
      <c r="W141" s="684">
        <f t="shared" si="126"/>
        <v>3.8160000000000083E-2</v>
      </c>
      <c r="X141" s="682">
        <f t="shared" si="119"/>
        <v>0</v>
      </c>
      <c r="Y141" s="552"/>
      <c r="Z141" s="552"/>
      <c r="AA141" s="151"/>
    </row>
    <row r="142" spans="1:27" s="94" customFormat="1" x14ac:dyDescent="0.25">
      <c r="A142" s="95" t="s">
        <v>483</v>
      </c>
      <c r="B142" s="159"/>
      <c r="C142" s="565">
        <f t="shared" si="120"/>
        <v>0</v>
      </c>
      <c r="D142" s="159"/>
      <c r="E142" s="565">
        <f t="shared" si="121"/>
        <v>0</v>
      </c>
      <c r="F142" s="159"/>
      <c r="G142" s="565">
        <f t="shared" si="122"/>
        <v>0</v>
      </c>
      <c r="H142" s="548">
        <v>0.18</v>
      </c>
      <c r="I142" s="565">
        <f t="shared" si="127"/>
        <v>5.5800000000000125</v>
      </c>
      <c r="J142" s="548"/>
      <c r="K142" s="688"/>
      <c r="L142" s="565">
        <f t="shared" si="128"/>
        <v>0</v>
      </c>
      <c r="M142" s="688"/>
      <c r="N142" s="565">
        <f t="shared" si="117"/>
        <v>3.6967500000000091E-2</v>
      </c>
      <c r="O142" s="565">
        <f t="shared" si="129"/>
        <v>2</v>
      </c>
      <c r="P142" s="688"/>
      <c r="Q142" s="565">
        <f t="shared" si="123"/>
        <v>1.325E-2</v>
      </c>
      <c r="R142" s="565"/>
      <c r="S142" s="566"/>
      <c r="T142" s="685">
        <f t="shared" si="118"/>
        <v>0</v>
      </c>
      <c r="U142" s="685">
        <f t="shared" si="124"/>
        <v>0</v>
      </c>
      <c r="V142" s="685">
        <f t="shared" si="125"/>
        <v>0</v>
      </c>
      <c r="W142" s="684">
        <f t="shared" si="126"/>
        <v>3.6967500000000091E-2</v>
      </c>
      <c r="X142" s="682">
        <f t="shared" si="119"/>
        <v>0</v>
      </c>
      <c r="Y142" s="552"/>
      <c r="Z142" s="552"/>
      <c r="AA142" s="151"/>
    </row>
    <row r="143" spans="1:27" s="94" customFormat="1" x14ac:dyDescent="0.25">
      <c r="A143" s="567" t="s">
        <v>258</v>
      </c>
      <c r="B143" s="566">
        <f>SUM(B131:B142)</f>
        <v>0</v>
      </c>
      <c r="C143" s="565"/>
      <c r="D143" s="566">
        <f>SUM(D131:D142)</f>
        <v>0</v>
      </c>
      <c r="E143" s="565"/>
      <c r="F143" s="566">
        <f>SUM(F131:F142)</f>
        <v>0</v>
      </c>
      <c r="G143" s="565"/>
      <c r="H143" s="566">
        <f>SUM(H131:H142)</f>
        <v>2.1599999999999997</v>
      </c>
      <c r="I143" s="565"/>
      <c r="J143" s="566">
        <f>SUM(J131:J142)</f>
        <v>0</v>
      </c>
      <c r="K143" s="566">
        <f>SUM(K131:K142)</f>
        <v>0</v>
      </c>
      <c r="L143" s="565"/>
      <c r="M143" s="566">
        <f>SUM(M131:M142)</f>
        <v>0</v>
      </c>
      <c r="N143" s="566">
        <f>SUM(N131:N142)</f>
        <v>0.52231500000000097</v>
      </c>
      <c r="O143" s="565"/>
      <c r="P143" s="566">
        <f>SUM(P131:P142)</f>
        <v>0</v>
      </c>
      <c r="Q143" s="566">
        <f>SUM(Q131:Q142)</f>
        <v>0.15900000000000003</v>
      </c>
      <c r="R143" s="566"/>
      <c r="S143" s="566">
        <f>N143+Q143</f>
        <v>0.681315000000001</v>
      </c>
      <c r="T143" s="566">
        <f>SUM(T131:T142)</f>
        <v>0</v>
      </c>
      <c r="U143" s="566">
        <f>SUM(U131:U142)</f>
        <v>0</v>
      </c>
      <c r="V143" s="566">
        <f>SUM(V131:V142)</f>
        <v>0</v>
      </c>
      <c r="W143" s="566">
        <f>SUM(W131:W142)</f>
        <v>0.52231500000000097</v>
      </c>
      <c r="X143" s="566">
        <f>SUM(X131:X142)</f>
        <v>0</v>
      </c>
      <c r="Y143" s="552"/>
      <c r="Z143" s="552"/>
      <c r="AA143" s="151"/>
    </row>
    <row r="144" spans="1:27" s="94" customFormat="1" x14ac:dyDescent="0.25">
      <c r="A144" s="106">
        <f>'Oper.St.'!L11</f>
        <v>2029</v>
      </c>
      <c r="B144" s="1011">
        <f>A144</f>
        <v>2029</v>
      </c>
      <c r="C144" s="1011">
        <f>B144</f>
        <v>2029</v>
      </c>
      <c r="D144" s="1011">
        <f t="shared" ref="D144:X144" si="130">C144</f>
        <v>2029</v>
      </c>
      <c r="E144" s="1011">
        <f t="shared" si="130"/>
        <v>2029</v>
      </c>
      <c r="F144" s="1011">
        <f t="shared" si="130"/>
        <v>2029</v>
      </c>
      <c r="G144" s="1011">
        <f t="shared" si="130"/>
        <v>2029</v>
      </c>
      <c r="H144" s="1011">
        <f t="shared" si="130"/>
        <v>2029</v>
      </c>
      <c r="I144" s="1011">
        <f t="shared" si="130"/>
        <v>2029</v>
      </c>
      <c r="J144" s="1011"/>
      <c r="K144" s="1011">
        <f>I144</f>
        <v>2029</v>
      </c>
      <c r="L144" s="1011">
        <f t="shared" si="130"/>
        <v>2029</v>
      </c>
      <c r="M144" s="1011">
        <f t="shared" si="130"/>
        <v>2029</v>
      </c>
      <c r="N144" s="1011">
        <f t="shared" si="130"/>
        <v>2029</v>
      </c>
      <c r="O144" s="1011">
        <f t="shared" si="130"/>
        <v>2029</v>
      </c>
      <c r="P144" s="1011">
        <f t="shared" si="130"/>
        <v>2029</v>
      </c>
      <c r="Q144" s="1011">
        <f>O144</f>
        <v>2029</v>
      </c>
      <c r="R144" s="1011">
        <f t="shared" si="130"/>
        <v>2029</v>
      </c>
      <c r="S144" s="1011">
        <f t="shared" si="130"/>
        <v>2029</v>
      </c>
      <c r="T144" s="1011">
        <f t="shared" si="130"/>
        <v>2029</v>
      </c>
      <c r="U144" s="1011">
        <f t="shared" si="130"/>
        <v>2029</v>
      </c>
      <c r="V144" s="1011">
        <f t="shared" si="130"/>
        <v>2029</v>
      </c>
      <c r="W144" s="1011">
        <f t="shared" si="130"/>
        <v>2029</v>
      </c>
      <c r="X144" s="1011">
        <f t="shared" si="130"/>
        <v>2029</v>
      </c>
      <c r="Y144" s="552"/>
      <c r="Z144" s="552"/>
      <c r="AA144" s="151"/>
    </row>
    <row r="145" spans="1:27" s="94" customFormat="1" x14ac:dyDescent="0.25">
      <c r="A145" s="95" t="s">
        <v>472</v>
      </c>
      <c r="B145" s="159"/>
      <c r="C145" s="565">
        <f>C142-B142</f>
        <v>0</v>
      </c>
      <c r="D145" s="159"/>
      <c r="E145" s="565">
        <f>E142-D142</f>
        <v>0</v>
      </c>
      <c r="F145" s="159"/>
      <c r="G145" s="565">
        <f>G142-F142</f>
        <v>0</v>
      </c>
      <c r="H145" s="548">
        <v>0.2</v>
      </c>
      <c r="I145" s="565">
        <f>I142-H142+J145</f>
        <v>5.4000000000000128</v>
      </c>
      <c r="J145" s="548"/>
      <c r="K145" s="688"/>
      <c r="L145" s="565">
        <f>L142-K142+M145</f>
        <v>0</v>
      </c>
      <c r="M145" s="688"/>
      <c r="N145" s="565">
        <f t="shared" ref="N145:N156" si="131">T145+U145+V145+W145+X145</f>
        <v>3.5775000000000085E-2</v>
      </c>
      <c r="O145" s="565">
        <f>O142+P145</f>
        <v>2</v>
      </c>
      <c r="P145" s="688"/>
      <c r="Q145" s="565">
        <f>O145*$Q$16/100/12*$R$16/100</f>
        <v>1.325E-2</v>
      </c>
      <c r="R145" s="565"/>
      <c r="S145" s="566"/>
      <c r="T145" s="685">
        <f t="shared" ref="T145:T156" si="132">C145*$C$17/100/12</f>
        <v>0</v>
      </c>
      <c r="U145" s="685">
        <f>E145*$E$17/100/12</f>
        <v>0</v>
      </c>
      <c r="V145" s="685">
        <f>G145*$G$17/100/12</f>
        <v>0</v>
      </c>
      <c r="W145" s="684">
        <f>I145*$I$17/100/12</f>
        <v>3.5775000000000085E-2</v>
      </c>
      <c r="X145" s="682">
        <f t="shared" ref="X145:X156" si="133">L145*$L$17/100/12</f>
        <v>0</v>
      </c>
      <c r="Y145" s="552"/>
      <c r="Z145" s="552"/>
      <c r="AA145" s="151"/>
    </row>
    <row r="146" spans="1:27" s="94" customFormat="1" x14ac:dyDescent="0.25">
      <c r="A146" s="95" t="s">
        <v>473</v>
      </c>
      <c r="B146" s="159"/>
      <c r="C146" s="565">
        <f t="shared" ref="C146:C156" si="134">C145-B145</f>
        <v>0</v>
      </c>
      <c r="D146" s="159"/>
      <c r="E146" s="565">
        <f t="shared" ref="E146:E156" si="135">E145-D145</f>
        <v>0</v>
      </c>
      <c r="F146" s="159"/>
      <c r="G146" s="565">
        <f t="shared" ref="G146:G156" si="136">G145-F145</f>
        <v>0</v>
      </c>
      <c r="H146" s="548">
        <v>0.2</v>
      </c>
      <c r="I146" s="565">
        <f>I145-H145+J146</f>
        <v>5.2000000000000126</v>
      </c>
      <c r="J146" s="548"/>
      <c r="K146" s="688"/>
      <c r="L146" s="565">
        <f>L145-K145+M146</f>
        <v>0</v>
      </c>
      <c r="M146" s="688"/>
      <c r="N146" s="565">
        <f t="shared" si="131"/>
        <v>3.4450000000000085E-2</v>
      </c>
      <c r="O146" s="565">
        <f>O145+P146</f>
        <v>2</v>
      </c>
      <c r="P146" s="688"/>
      <c r="Q146" s="565">
        <f t="shared" ref="Q146:Q156" si="137">O146*$Q$16/100/12*$R$16/100</f>
        <v>1.325E-2</v>
      </c>
      <c r="R146" s="565"/>
      <c r="S146" s="566"/>
      <c r="T146" s="685">
        <f t="shared" si="132"/>
        <v>0</v>
      </c>
      <c r="U146" s="685">
        <f t="shared" ref="U146:U156" si="138">E146*$E$17/100/12</f>
        <v>0</v>
      </c>
      <c r="V146" s="685">
        <f t="shared" ref="V146:V156" si="139">G146*$G$17/100/12</f>
        <v>0</v>
      </c>
      <c r="W146" s="684">
        <f t="shared" ref="W146:W156" si="140">I146*$I$17/100/12</f>
        <v>3.4450000000000085E-2</v>
      </c>
      <c r="X146" s="682">
        <f t="shared" si="133"/>
        <v>0</v>
      </c>
      <c r="Y146" s="552"/>
      <c r="Z146" s="552"/>
      <c r="AA146" s="151"/>
    </row>
    <row r="147" spans="1:27" s="94" customFormat="1" x14ac:dyDescent="0.25">
      <c r="A147" s="95" t="s">
        <v>474</v>
      </c>
      <c r="B147" s="159"/>
      <c r="C147" s="565">
        <f t="shared" si="134"/>
        <v>0</v>
      </c>
      <c r="D147" s="159"/>
      <c r="E147" s="565">
        <f t="shared" si="135"/>
        <v>0</v>
      </c>
      <c r="F147" s="159"/>
      <c r="G147" s="565">
        <f t="shared" si="136"/>
        <v>0</v>
      </c>
      <c r="H147" s="548">
        <v>0.2</v>
      </c>
      <c r="I147" s="565">
        <f t="shared" ref="I147:I156" si="141">I146-H146+J147</f>
        <v>5.0000000000000124</v>
      </c>
      <c r="J147" s="548"/>
      <c r="K147" s="688"/>
      <c r="L147" s="565">
        <f t="shared" ref="L147:L156" si="142">L146-K146+M147</f>
        <v>0</v>
      </c>
      <c r="M147" s="688"/>
      <c r="N147" s="565">
        <f t="shared" si="131"/>
        <v>3.3125000000000085E-2</v>
      </c>
      <c r="O147" s="565">
        <f t="shared" ref="O147:O156" si="143">O146+P147</f>
        <v>2</v>
      </c>
      <c r="P147" s="688"/>
      <c r="Q147" s="565">
        <f t="shared" si="137"/>
        <v>1.325E-2</v>
      </c>
      <c r="R147" s="565"/>
      <c r="S147" s="566"/>
      <c r="T147" s="685">
        <f t="shared" si="132"/>
        <v>0</v>
      </c>
      <c r="U147" s="685">
        <f t="shared" si="138"/>
        <v>0</v>
      </c>
      <c r="V147" s="685">
        <f t="shared" si="139"/>
        <v>0</v>
      </c>
      <c r="W147" s="684">
        <f t="shared" si="140"/>
        <v>3.3125000000000085E-2</v>
      </c>
      <c r="X147" s="682">
        <f t="shared" si="133"/>
        <v>0</v>
      </c>
      <c r="Y147" s="552"/>
      <c r="Z147" s="552"/>
      <c r="AA147" s="151"/>
    </row>
    <row r="148" spans="1:27" s="94" customFormat="1" x14ac:dyDescent="0.25">
      <c r="A148" s="95" t="s">
        <v>475</v>
      </c>
      <c r="B148" s="159"/>
      <c r="C148" s="565">
        <f t="shared" si="134"/>
        <v>0</v>
      </c>
      <c r="D148" s="159"/>
      <c r="E148" s="565">
        <f t="shared" si="135"/>
        <v>0</v>
      </c>
      <c r="F148" s="159"/>
      <c r="G148" s="565">
        <f t="shared" si="136"/>
        <v>0</v>
      </c>
      <c r="H148" s="548">
        <v>0.2</v>
      </c>
      <c r="I148" s="565">
        <f t="shared" si="141"/>
        <v>4.8000000000000123</v>
      </c>
      <c r="J148" s="548"/>
      <c r="K148" s="688"/>
      <c r="L148" s="565">
        <f t="shared" si="142"/>
        <v>0</v>
      </c>
      <c r="M148" s="688"/>
      <c r="N148" s="565">
        <f t="shared" si="131"/>
        <v>3.1800000000000078E-2</v>
      </c>
      <c r="O148" s="565">
        <f t="shared" si="143"/>
        <v>2</v>
      </c>
      <c r="P148" s="688"/>
      <c r="Q148" s="565">
        <f t="shared" si="137"/>
        <v>1.325E-2</v>
      </c>
      <c r="R148" s="565"/>
      <c r="S148" s="566"/>
      <c r="T148" s="685">
        <f t="shared" si="132"/>
        <v>0</v>
      </c>
      <c r="U148" s="685">
        <f t="shared" si="138"/>
        <v>0</v>
      </c>
      <c r="V148" s="685">
        <f t="shared" si="139"/>
        <v>0</v>
      </c>
      <c r="W148" s="684">
        <f t="shared" si="140"/>
        <v>3.1800000000000078E-2</v>
      </c>
      <c r="X148" s="682">
        <f t="shared" si="133"/>
        <v>0</v>
      </c>
      <c r="Y148" s="552"/>
      <c r="Z148" s="552"/>
      <c r="AA148" s="151"/>
    </row>
    <row r="149" spans="1:27" s="94" customFormat="1" x14ac:dyDescent="0.25">
      <c r="A149" s="95" t="s">
        <v>476</v>
      </c>
      <c r="B149" s="159"/>
      <c r="C149" s="565">
        <f t="shared" si="134"/>
        <v>0</v>
      </c>
      <c r="D149" s="159"/>
      <c r="E149" s="565">
        <f t="shared" si="135"/>
        <v>0</v>
      </c>
      <c r="F149" s="159"/>
      <c r="G149" s="565">
        <f t="shared" si="136"/>
        <v>0</v>
      </c>
      <c r="H149" s="548">
        <v>0.2</v>
      </c>
      <c r="I149" s="565">
        <f t="shared" si="141"/>
        <v>4.6000000000000121</v>
      </c>
      <c r="J149" s="548"/>
      <c r="K149" s="688"/>
      <c r="L149" s="565">
        <f t="shared" si="142"/>
        <v>0</v>
      </c>
      <c r="M149" s="688"/>
      <c r="N149" s="565">
        <f t="shared" si="131"/>
        <v>3.0475000000000085E-2</v>
      </c>
      <c r="O149" s="565">
        <f t="shared" si="143"/>
        <v>2</v>
      </c>
      <c r="P149" s="688"/>
      <c r="Q149" s="565">
        <f t="shared" si="137"/>
        <v>1.325E-2</v>
      </c>
      <c r="R149" s="565"/>
      <c r="S149" s="566"/>
      <c r="T149" s="685">
        <f t="shared" si="132"/>
        <v>0</v>
      </c>
      <c r="U149" s="685">
        <f t="shared" si="138"/>
        <v>0</v>
      </c>
      <c r="V149" s="685">
        <f t="shared" si="139"/>
        <v>0</v>
      </c>
      <c r="W149" s="684">
        <f t="shared" si="140"/>
        <v>3.0475000000000085E-2</v>
      </c>
      <c r="X149" s="682">
        <f t="shared" si="133"/>
        <v>0</v>
      </c>
      <c r="Y149" s="552"/>
      <c r="Z149" s="552"/>
      <c r="AA149" s="151"/>
    </row>
    <row r="150" spans="1:27" s="94" customFormat="1" x14ac:dyDescent="0.25">
      <c r="A150" s="95" t="s">
        <v>477</v>
      </c>
      <c r="B150" s="159"/>
      <c r="C150" s="565">
        <f t="shared" si="134"/>
        <v>0</v>
      </c>
      <c r="D150" s="159"/>
      <c r="E150" s="565">
        <f t="shared" si="135"/>
        <v>0</v>
      </c>
      <c r="F150" s="159"/>
      <c r="G150" s="565">
        <f t="shared" si="136"/>
        <v>0</v>
      </c>
      <c r="H150" s="548">
        <v>0.2</v>
      </c>
      <c r="I150" s="565">
        <f t="shared" si="141"/>
        <v>4.4000000000000119</v>
      </c>
      <c r="J150" s="548"/>
      <c r="K150" s="688"/>
      <c r="L150" s="565">
        <f t="shared" si="142"/>
        <v>0</v>
      </c>
      <c r="M150" s="688"/>
      <c r="N150" s="565">
        <f t="shared" si="131"/>
        <v>2.9150000000000079E-2</v>
      </c>
      <c r="O150" s="565">
        <f t="shared" si="143"/>
        <v>2</v>
      </c>
      <c r="P150" s="688"/>
      <c r="Q150" s="565">
        <f t="shared" si="137"/>
        <v>1.325E-2</v>
      </c>
      <c r="R150" s="565"/>
      <c r="S150" s="566"/>
      <c r="T150" s="685">
        <f t="shared" si="132"/>
        <v>0</v>
      </c>
      <c r="U150" s="685">
        <f t="shared" si="138"/>
        <v>0</v>
      </c>
      <c r="V150" s="685">
        <f t="shared" si="139"/>
        <v>0</v>
      </c>
      <c r="W150" s="684">
        <f t="shared" si="140"/>
        <v>2.9150000000000079E-2</v>
      </c>
      <c r="X150" s="682">
        <f t="shared" si="133"/>
        <v>0</v>
      </c>
      <c r="Y150" s="552"/>
      <c r="Z150" s="552"/>
      <c r="AA150" s="151"/>
    </row>
    <row r="151" spans="1:27" s="94" customFormat="1" x14ac:dyDescent="0.25">
      <c r="A151" s="95" t="s">
        <v>478</v>
      </c>
      <c r="B151" s="159"/>
      <c r="C151" s="565">
        <f t="shared" si="134"/>
        <v>0</v>
      </c>
      <c r="D151" s="159"/>
      <c r="E151" s="565">
        <f t="shared" si="135"/>
        <v>0</v>
      </c>
      <c r="F151" s="159"/>
      <c r="G151" s="565">
        <f t="shared" si="136"/>
        <v>0</v>
      </c>
      <c r="H151" s="548">
        <v>0.2</v>
      </c>
      <c r="I151" s="565">
        <f t="shared" si="141"/>
        <v>4.2000000000000117</v>
      </c>
      <c r="J151" s="548"/>
      <c r="K151" s="688"/>
      <c r="L151" s="565">
        <f t="shared" si="142"/>
        <v>0</v>
      </c>
      <c r="M151" s="688"/>
      <c r="N151" s="565">
        <f t="shared" si="131"/>
        <v>2.7825000000000075E-2</v>
      </c>
      <c r="O151" s="565">
        <f t="shared" si="143"/>
        <v>2</v>
      </c>
      <c r="P151" s="688"/>
      <c r="Q151" s="565">
        <f t="shared" si="137"/>
        <v>1.325E-2</v>
      </c>
      <c r="R151" s="565"/>
      <c r="S151" s="566"/>
      <c r="T151" s="685">
        <f t="shared" si="132"/>
        <v>0</v>
      </c>
      <c r="U151" s="685">
        <f t="shared" si="138"/>
        <v>0</v>
      </c>
      <c r="V151" s="685">
        <f t="shared" si="139"/>
        <v>0</v>
      </c>
      <c r="W151" s="684">
        <f t="shared" si="140"/>
        <v>2.7825000000000075E-2</v>
      </c>
      <c r="X151" s="682">
        <f t="shared" si="133"/>
        <v>0</v>
      </c>
      <c r="Y151" s="552"/>
      <c r="Z151" s="552"/>
      <c r="AA151" s="151"/>
    </row>
    <row r="152" spans="1:27" s="94" customFormat="1" x14ac:dyDescent="0.25">
      <c r="A152" s="95" t="s">
        <v>479</v>
      </c>
      <c r="B152" s="159"/>
      <c r="C152" s="565">
        <f t="shared" si="134"/>
        <v>0</v>
      </c>
      <c r="D152" s="159"/>
      <c r="E152" s="565">
        <f t="shared" si="135"/>
        <v>0</v>
      </c>
      <c r="F152" s="159"/>
      <c r="G152" s="565">
        <f t="shared" si="136"/>
        <v>0</v>
      </c>
      <c r="H152" s="548">
        <v>0.2</v>
      </c>
      <c r="I152" s="565">
        <f t="shared" si="141"/>
        <v>4.0000000000000115</v>
      </c>
      <c r="J152" s="548"/>
      <c r="K152" s="688"/>
      <c r="L152" s="565">
        <f t="shared" si="142"/>
        <v>0</v>
      </c>
      <c r="M152" s="688"/>
      <c r="N152" s="565">
        <f t="shared" si="131"/>
        <v>2.6500000000000079E-2</v>
      </c>
      <c r="O152" s="565">
        <f t="shared" si="143"/>
        <v>2</v>
      </c>
      <c r="P152" s="688"/>
      <c r="Q152" s="565">
        <f t="shared" si="137"/>
        <v>1.325E-2</v>
      </c>
      <c r="R152" s="565"/>
      <c r="S152" s="566"/>
      <c r="T152" s="685">
        <f t="shared" si="132"/>
        <v>0</v>
      </c>
      <c r="U152" s="685">
        <f t="shared" si="138"/>
        <v>0</v>
      </c>
      <c r="V152" s="685">
        <f t="shared" si="139"/>
        <v>0</v>
      </c>
      <c r="W152" s="684">
        <f t="shared" si="140"/>
        <v>2.6500000000000079E-2</v>
      </c>
      <c r="X152" s="682">
        <f t="shared" si="133"/>
        <v>0</v>
      </c>
      <c r="Y152" s="552"/>
      <c r="Z152" s="552"/>
      <c r="AA152" s="151"/>
    </row>
    <row r="153" spans="1:27" s="94" customFormat="1" x14ac:dyDescent="0.25">
      <c r="A153" s="95" t="s">
        <v>480</v>
      </c>
      <c r="B153" s="159"/>
      <c r="C153" s="565">
        <f t="shared" si="134"/>
        <v>0</v>
      </c>
      <c r="D153" s="159"/>
      <c r="E153" s="565">
        <f t="shared" si="135"/>
        <v>0</v>
      </c>
      <c r="F153" s="159"/>
      <c r="G153" s="565">
        <f t="shared" si="136"/>
        <v>0</v>
      </c>
      <c r="H153" s="548">
        <v>0.2</v>
      </c>
      <c r="I153" s="565">
        <f t="shared" si="141"/>
        <v>3.8000000000000114</v>
      </c>
      <c r="J153" s="548"/>
      <c r="K153" s="688"/>
      <c r="L153" s="565">
        <f t="shared" si="142"/>
        <v>0</v>
      </c>
      <c r="M153" s="688"/>
      <c r="N153" s="565">
        <f t="shared" si="131"/>
        <v>2.5175000000000076E-2</v>
      </c>
      <c r="O153" s="565">
        <f t="shared" si="143"/>
        <v>2</v>
      </c>
      <c r="P153" s="688"/>
      <c r="Q153" s="565">
        <f t="shared" si="137"/>
        <v>1.325E-2</v>
      </c>
      <c r="R153" s="565"/>
      <c r="S153" s="566"/>
      <c r="T153" s="685">
        <f t="shared" si="132"/>
        <v>0</v>
      </c>
      <c r="U153" s="685">
        <f t="shared" si="138"/>
        <v>0</v>
      </c>
      <c r="V153" s="685">
        <f t="shared" si="139"/>
        <v>0</v>
      </c>
      <c r="W153" s="684">
        <f t="shared" si="140"/>
        <v>2.5175000000000076E-2</v>
      </c>
      <c r="X153" s="682">
        <f t="shared" si="133"/>
        <v>0</v>
      </c>
      <c r="Y153" s="552"/>
      <c r="Z153" s="552"/>
      <c r="AA153" s="151"/>
    </row>
    <row r="154" spans="1:27" s="94" customFormat="1" x14ac:dyDescent="0.25">
      <c r="A154" s="95" t="s">
        <v>481</v>
      </c>
      <c r="B154" s="159"/>
      <c r="C154" s="565">
        <f t="shared" si="134"/>
        <v>0</v>
      </c>
      <c r="D154" s="159"/>
      <c r="E154" s="565">
        <f t="shared" si="135"/>
        <v>0</v>
      </c>
      <c r="F154" s="159"/>
      <c r="G154" s="565">
        <f t="shared" si="136"/>
        <v>0</v>
      </c>
      <c r="H154" s="548">
        <v>0.2</v>
      </c>
      <c r="I154" s="565">
        <f t="shared" si="141"/>
        <v>3.6000000000000112</v>
      </c>
      <c r="J154" s="548"/>
      <c r="K154" s="688"/>
      <c r="L154" s="565">
        <f t="shared" si="142"/>
        <v>0</v>
      </c>
      <c r="M154" s="688"/>
      <c r="N154" s="565">
        <f t="shared" si="131"/>
        <v>2.3850000000000076E-2</v>
      </c>
      <c r="O154" s="565">
        <f t="shared" si="143"/>
        <v>2</v>
      </c>
      <c r="P154" s="688"/>
      <c r="Q154" s="565">
        <f t="shared" si="137"/>
        <v>1.325E-2</v>
      </c>
      <c r="R154" s="565"/>
      <c r="S154" s="566"/>
      <c r="T154" s="685">
        <f t="shared" si="132"/>
        <v>0</v>
      </c>
      <c r="U154" s="685">
        <f t="shared" si="138"/>
        <v>0</v>
      </c>
      <c r="V154" s="685">
        <f t="shared" si="139"/>
        <v>0</v>
      </c>
      <c r="W154" s="684">
        <f t="shared" si="140"/>
        <v>2.3850000000000076E-2</v>
      </c>
      <c r="X154" s="682">
        <f t="shared" si="133"/>
        <v>0</v>
      </c>
      <c r="Y154" s="552"/>
      <c r="Z154" s="552"/>
      <c r="AA154" s="151"/>
    </row>
    <row r="155" spans="1:27" s="94" customFormat="1" x14ac:dyDescent="0.25">
      <c r="A155" s="95" t="s">
        <v>482</v>
      </c>
      <c r="B155" s="159"/>
      <c r="C155" s="565">
        <f t="shared" si="134"/>
        <v>0</v>
      </c>
      <c r="D155" s="159"/>
      <c r="E155" s="565">
        <f t="shared" si="135"/>
        <v>0</v>
      </c>
      <c r="F155" s="159"/>
      <c r="G155" s="565">
        <f t="shared" si="136"/>
        <v>0</v>
      </c>
      <c r="H155" s="548">
        <v>0.2</v>
      </c>
      <c r="I155" s="565">
        <f t="shared" si="141"/>
        <v>3.400000000000011</v>
      </c>
      <c r="J155" s="548"/>
      <c r="K155" s="688"/>
      <c r="L155" s="565">
        <f t="shared" si="142"/>
        <v>0</v>
      </c>
      <c r="M155" s="688"/>
      <c r="N155" s="565">
        <f t="shared" si="131"/>
        <v>2.2525000000000073E-2</v>
      </c>
      <c r="O155" s="565">
        <f t="shared" si="143"/>
        <v>2</v>
      </c>
      <c r="P155" s="688"/>
      <c r="Q155" s="565">
        <f t="shared" si="137"/>
        <v>1.325E-2</v>
      </c>
      <c r="R155" s="565"/>
      <c r="S155" s="566"/>
      <c r="T155" s="685">
        <f t="shared" si="132"/>
        <v>0</v>
      </c>
      <c r="U155" s="685">
        <f t="shared" si="138"/>
        <v>0</v>
      </c>
      <c r="V155" s="685">
        <f t="shared" si="139"/>
        <v>0</v>
      </c>
      <c r="W155" s="684">
        <f t="shared" si="140"/>
        <v>2.2525000000000073E-2</v>
      </c>
      <c r="X155" s="682">
        <f t="shared" si="133"/>
        <v>0</v>
      </c>
      <c r="Y155" s="552"/>
      <c r="Z155" s="552"/>
      <c r="AA155" s="151"/>
    </row>
    <row r="156" spans="1:27" s="94" customFormat="1" x14ac:dyDescent="0.25">
      <c r="A156" s="95" t="s">
        <v>483</v>
      </c>
      <c r="B156" s="159"/>
      <c r="C156" s="565">
        <f t="shared" si="134"/>
        <v>0</v>
      </c>
      <c r="D156" s="159"/>
      <c r="E156" s="565">
        <f t="shared" si="135"/>
        <v>0</v>
      </c>
      <c r="F156" s="159"/>
      <c r="G156" s="565">
        <f t="shared" si="136"/>
        <v>0</v>
      </c>
      <c r="H156" s="548">
        <v>0.2</v>
      </c>
      <c r="I156" s="565">
        <f t="shared" si="141"/>
        <v>3.2000000000000108</v>
      </c>
      <c r="J156" s="548"/>
      <c r="K156" s="688"/>
      <c r="L156" s="565">
        <f t="shared" si="142"/>
        <v>0</v>
      </c>
      <c r="M156" s="688"/>
      <c r="N156" s="565">
        <f t="shared" si="131"/>
        <v>2.1200000000000069E-2</v>
      </c>
      <c r="O156" s="565">
        <f t="shared" si="143"/>
        <v>2</v>
      </c>
      <c r="P156" s="688"/>
      <c r="Q156" s="565">
        <f t="shared" si="137"/>
        <v>1.325E-2</v>
      </c>
      <c r="R156" s="565"/>
      <c r="S156" s="566"/>
      <c r="T156" s="685">
        <f t="shared" si="132"/>
        <v>0</v>
      </c>
      <c r="U156" s="685">
        <f t="shared" si="138"/>
        <v>0</v>
      </c>
      <c r="V156" s="685">
        <f t="shared" si="139"/>
        <v>0</v>
      </c>
      <c r="W156" s="684">
        <f t="shared" si="140"/>
        <v>2.1200000000000069E-2</v>
      </c>
      <c r="X156" s="682">
        <f t="shared" si="133"/>
        <v>0</v>
      </c>
      <c r="Y156" s="552"/>
      <c r="Z156" s="552"/>
      <c r="AA156" s="151"/>
    </row>
    <row r="157" spans="1:27" s="94" customFormat="1" x14ac:dyDescent="0.25">
      <c r="A157" s="567" t="s">
        <v>258</v>
      </c>
      <c r="B157" s="566">
        <f>SUM(B145:B156)</f>
        <v>0</v>
      </c>
      <c r="C157" s="565"/>
      <c r="D157" s="566">
        <f>SUM(D145:D156)</f>
        <v>0</v>
      </c>
      <c r="E157" s="565"/>
      <c r="F157" s="566">
        <f>SUM(F145:F156)</f>
        <v>0</v>
      </c>
      <c r="G157" s="565"/>
      <c r="H157" s="566">
        <f>SUM(H145:H156)</f>
        <v>2.4</v>
      </c>
      <c r="I157" s="565"/>
      <c r="J157" s="566">
        <f>SUM(J145:J156)</f>
        <v>0</v>
      </c>
      <c r="K157" s="566">
        <f>SUM(K145:K156)</f>
        <v>0</v>
      </c>
      <c r="L157" s="565"/>
      <c r="M157" s="566">
        <f>SUM(M145:M156)</f>
        <v>0</v>
      </c>
      <c r="N157" s="566">
        <f>SUM(N145:N156)</f>
        <v>0.34185000000000093</v>
      </c>
      <c r="O157" s="565"/>
      <c r="P157" s="566">
        <f>SUM(P145:P156)</f>
        <v>0</v>
      </c>
      <c r="Q157" s="566">
        <f>SUM(Q145:Q156)</f>
        <v>0.15900000000000003</v>
      </c>
      <c r="R157" s="566"/>
      <c r="S157" s="566">
        <f>N157+Q157</f>
        <v>0.50085000000000091</v>
      </c>
      <c r="T157" s="566">
        <f>SUM(T145:T156)</f>
        <v>0</v>
      </c>
      <c r="U157" s="566">
        <f>SUM(U145:U156)</f>
        <v>0</v>
      </c>
      <c r="V157" s="566">
        <f>SUM(V145:V156)</f>
        <v>0</v>
      </c>
      <c r="W157" s="566">
        <f>SUM(W145:W156)</f>
        <v>0.34185000000000093</v>
      </c>
      <c r="X157" s="566">
        <f>SUM(X145:X156)</f>
        <v>0</v>
      </c>
      <c r="Y157" s="552"/>
      <c r="Z157" s="552"/>
      <c r="AA157" s="151"/>
    </row>
    <row r="158" spans="1:27" s="94" customFormat="1" x14ac:dyDescent="0.25">
      <c r="A158" s="106">
        <f>'Oper.St.'!M11</f>
        <v>2030</v>
      </c>
      <c r="B158" s="1011">
        <f>A158</f>
        <v>2030</v>
      </c>
      <c r="C158" s="1011">
        <f>B158</f>
        <v>2030</v>
      </c>
      <c r="D158" s="1011">
        <f t="shared" ref="D158:X158" si="144">C158</f>
        <v>2030</v>
      </c>
      <c r="E158" s="1011">
        <f t="shared" si="144"/>
        <v>2030</v>
      </c>
      <c r="F158" s="1011">
        <f t="shared" si="144"/>
        <v>2030</v>
      </c>
      <c r="G158" s="1011">
        <f t="shared" si="144"/>
        <v>2030</v>
      </c>
      <c r="H158" s="1011">
        <f t="shared" si="144"/>
        <v>2030</v>
      </c>
      <c r="I158" s="1011">
        <f t="shared" si="144"/>
        <v>2030</v>
      </c>
      <c r="J158" s="1011"/>
      <c r="K158" s="1011">
        <f>I158</f>
        <v>2030</v>
      </c>
      <c r="L158" s="1011">
        <f t="shared" si="144"/>
        <v>2030</v>
      </c>
      <c r="M158" s="1011">
        <f t="shared" si="144"/>
        <v>2030</v>
      </c>
      <c r="N158" s="1011">
        <f t="shared" si="144"/>
        <v>2030</v>
      </c>
      <c r="O158" s="1011">
        <f t="shared" si="144"/>
        <v>2030</v>
      </c>
      <c r="P158" s="1011">
        <f t="shared" si="144"/>
        <v>2030</v>
      </c>
      <c r="Q158" s="1011">
        <f>O158</f>
        <v>2030</v>
      </c>
      <c r="R158" s="1011">
        <f t="shared" si="144"/>
        <v>2030</v>
      </c>
      <c r="S158" s="1011">
        <f t="shared" si="144"/>
        <v>2030</v>
      </c>
      <c r="T158" s="1011">
        <f t="shared" si="144"/>
        <v>2030</v>
      </c>
      <c r="U158" s="1011">
        <f t="shared" si="144"/>
        <v>2030</v>
      </c>
      <c r="V158" s="1011">
        <f t="shared" si="144"/>
        <v>2030</v>
      </c>
      <c r="W158" s="1011">
        <f t="shared" si="144"/>
        <v>2030</v>
      </c>
      <c r="X158" s="1011">
        <f t="shared" si="144"/>
        <v>2030</v>
      </c>
      <c r="Y158" s="552"/>
      <c r="Z158" s="552"/>
      <c r="AA158" s="151"/>
    </row>
    <row r="159" spans="1:27" s="94" customFormat="1" x14ac:dyDescent="0.25">
      <c r="A159" s="95" t="s">
        <v>472</v>
      </c>
      <c r="B159" s="159"/>
      <c r="C159" s="565">
        <f>C156-B156</f>
        <v>0</v>
      </c>
      <c r="D159" s="159"/>
      <c r="E159" s="565">
        <f>E156-D156</f>
        <v>0</v>
      </c>
      <c r="F159" s="159"/>
      <c r="G159" s="565">
        <f>G156-F156</f>
        <v>0</v>
      </c>
      <c r="H159" s="548">
        <v>0.25</v>
      </c>
      <c r="I159" s="565">
        <f>I156-H156+J159</f>
        <v>3.0000000000000107</v>
      </c>
      <c r="J159" s="548"/>
      <c r="K159" s="688"/>
      <c r="L159" s="565">
        <f>L156-K156+M159</f>
        <v>0</v>
      </c>
      <c r="M159" s="688"/>
      <c r="N159" s="565">
        <f t="shared" ref="N159:N170" si="145">T159+U159+V159+W159+X159</f>
        <v>1.9875000000000073E-2</v>
      </c>
      <c r="O159" s="565">
        <f>O156+P159</f>
        <v>2</v>
      </c>
      <c r="P159" s="688"/>
      <c r="Q159" s="565">
        <f>O159*$Q$16/100/12*$R$16/100</f>
        <v>1.325E-2</v>
      </c>
      <c r="R159" s="565"/>
      <c r="S159" s="566"/>
      <c r="T159" s="685">
        <f t="shared" ref="T159:T170" si="146">C159*$C$17/100/12</f>
        <v>0</v>
      </c>
      <c r="U159" s="685">
        <f>E159*$E$17/100/12</f>
        <v>0</v>
      </c>
      <c r="V159" s="685">
        <f>G159*$G$17/100/12</f>
        <v>0</v>
      </c>
      <c r="W159" s="684">
        <f>I159*$I$17/100/12</f>
        <v>1.9875000000000073E-2</v>
      </c>
      <c r="X159" s="682">
        <f t="shared" ref="X159:X170" si="147">L159*$L$17/100/12</f>
        <v>0</v>
      </c>
      <c r="Y159" s="552"/>
      <c r="Z159" s="552"/>
      <c r="AA159" s="151"/>
    </row>
    <row r="160" spans="1:27" s="94" customFormat="1" x14ac:dyDescent="0.25">
      <c r="A160" s="95" t="s">
        <v>473</v>
      </c>
      <c r="B160" s="159"/>
      <c r="C160" s="565">
        <f t="shared" ref="C160:C170" si="148">C159-B159</f>
        <v>0</v>
      </c>
      <c r="D160" s="159"/>
      <c r="E160" s="565">
        <f t="shared" ref="E160:E170" si="149">E159-D159</f>
        <v>0</v>
      </c>
      <c r="F160" s="159"/>
      <c r="G160" s="565">
        <f t="shared" ref="G160:G170" si="150">G159-F159</f>
        <v>0</v>
      </c>
      <c r="H160" s="548">
        <v>0.25</v>
      </c>
      <c r="I160" s="565">
        <f>I159-H159+J160</f>
        <v>2.7500000000000107</v>
      </c>
      <c r="J160" s="548"/>
      <c r="K160" s="688"/>
      <c r="L160" s="565">
        <f>L159-K159+M160</f>
        <v>0</v>
      </c>
      <c r="M160" s="688"/>
      <c r="N160" s="565">
        <f t="shared" si="145"/>
        <v>1.8218750000000072E-2</v>
      </c>
      <c r="O160" s="565">
        <f>O159+P160</f>
        <v>2</v>
      </c>
      <c r="P160" s="688"/>
      <c r="Q160" s="565">
        <f t="shared" ref="Q160:Q170" si="151">O160*$Q$16/100/12*$R$16/100</f>
        <v>1.325E-2</v>
      </c>
      <c r="R160" s="565"/>
      <c r="S160" s="566"/>
      <c r="T160" s="685">
        <f t="shared" si="146"/>
        <v>0</v>
      </c>
      <c r="U160" s="685">
        <f t="shared" ref="U160:U170" si="152">E160*$E$17/100/12</f>
        <v>0</v>
      </c>
      <c r="V160" s="685">
        <f t="shared" ref="V160:V170" si="153">G160*$G$17/100/12</f>
        <v>0</v>
      </c>
      <c r="W160" s="684">
        <f t="shared" ref="W160:W170" si="154">I160*$I$17/100/12</f>
        <v>1.8218750000000072E-2</v>
      </c>
      <c r="X160" s="682">
        <f t="shared" si="147"/>
        <v>0</v>
      </c>
      <c r="Y160" s="552"/>
      <c r="Z160" s="552"/>
      <c r="AA160" s="151"/>
    </row>
    <row r="161" spans="1:27" s="94" customFormat="1" x14ac:dyDescent="0.25">
      <c r="A161" s="95" t="s">
        <v>474</v>
      </c>
      <c r="B161" s="159"/>
      <c r="C161" s="565">
        <f t="shared" si="148"/>
        <v>0</v>
      </c>
      <c r="D161" s="159"/>
      <c r="E161" s="565">
        <f t="shared" si="149"/>
        <v>0</v>
      </c>
      <c r="F161" s="159"/>
      <c r="G161" s="565">
        <f t="shared" si="150"/>
        <v>0</v>
      </c>
      <c r="H161" s="548">
        <v>0.25</v>
      </c>
      <c r="I161" s="565">
        <f t="shared" ref="I161:I170" si="155">I160-H160+J161</f>
        <v>2.5000000000000107</v>
      </c>
      <c r="J161" s="548"/>
      <c r="K161" s="688"/>
      <c r="L161" s="565">
        <f t="shared" ref="L161:L170" si="156">L160-K160+M161</f>
        <v>0</v>
      </c>
      <c r="M161" s="688"/>
      <c r="N161" s="565">
        <f t="shared" si="145"/>
        <v>1.656250000000007E-2</v>
      </c>
      <c r="O161" s="565">
        <f t="shared" ref="O161:O170" si="157">O160+P161</f>
        <v>2</v>
      </c>
      <c r="P161" s="688"/>
      <c r="Q161" s="565">
        <f t="shared" si="151"/>
        <v>1.325E-2</v>
      </c>
      <c r="R161" s="565"/>
      <c r="S161" s="566"/>
      <c r="T161" s="685">
        <f t="shared" si="146"/>
        <v>0</v>
      </c>
      <c r="U161" s="685">
        <f t="shared" si="152"/>
        <v>0</v>
      </c>
      <c r="V161" s="685">
        <f t="shared" si="153"/>
        <v>0</v>
      </c>
      <c r="W161" s="684">
        <f t="shared" si="154"/>
        <v>1.656250000000007E-2</v>
      </c>
      <c r="X161" s="682">
        <f t="shared" si="147"/>
        <v>0</v>
      </c>
      <c r="Y161" s="552"/>
      <c r="Z161" s="552"/>
      <c r="AA161" s="151"/>
    </row>
    <row r="162" spans="1:27" s="94" customFormat="1" x14ac:dyDescent="0.25">
      <c r="A162" s="95" t="s">
        <v>475</v>
      </c>
      <c r="B162" s="159"/>
      <c r="C162" s="565">
        <f t="shared" si="148"/>
        <v>0</v>
      </c>
      <c r="D162" s="159"/>
      <c r="E162" s="565">
        <f t="shared" si="149"/>
        <v>0</v>
      </c>
      <c r="F162" s="159"/>
      <c r="G162" s="565">
        <f t="shared" si="150"/>
        <v>0</v>
      </c>
      <c r="H162" s="548">
        <v>0.25</v>
      </c>
      <c r="I162" s="565">
        <f t="shared" si="155"/>
        <v>2.2500000000000107</v>
      </c>
      <c r="J162" s="548"/>
      <c r="K162" s="688"/>
      <c r="L162" s="565">
        <f t="shared" si="156"/>
        <v>0</v>
      </c>
      <c r="M162" s="688"/>
      <c r="N162" s="565">
        <f t="shared" si="145"/>
        <v>1.490625000000007E-2</v>
      </c>
      <c r="O162" s="565">
        <f t="shared" si="157"/>
        <v>2</v>
      </c>
      <c r="P162" s="688"/>
      <c r="Q162" s="565">
        <f t="shared" si="151"/>
        <v>1.325E-2</v>
      </c>
      <c r="R162" s="565"/>
      <c r="S162" s="566"/>
      <c r="T162" s="685">
        <f t="shared" si="146"/>
        <v>0</v>
      </c>
      <c r="U162" s="685">
        <f t="shared" si="152"/>
        <v>0</v>
      </c>
      <c r="V162" s="685">
        <f t="shared" si="153"/>
        <v>0</v>
      </c>
      <c r="W162" s="684">
        <f t="shared" si="154"/>
        <v>1.490625000000007E-2</v>
      </c>
      <c r="X162" s="682">
        <f t="shared" si="147"/>
        <v>0</v>
      </c>
      <c r="Y162" s="552"/>
      <c r="Z162" s="552"/>
      <c r="AA162" s="151"/>
    </row>
    <row r="163" spans="1:27" s="94" customFormat="1" x14ac:dyDescent="0.25">
      <c r="A163" s="95" t="s">
        <v>476</v>
      </c>
      <c r="B163" s="159"/>
      <c r="C163" s="565">
        <f t="shared" si="148"/>
        <v>0</v>
      </c>
      <c r="D163" s="159"/>
      <c r="E163" s="565">
        <f t="shared" si="149"/>
        <v>0</v>
      </c>
      <c r="F163" s="159"/>
      <c r="G163" s="565">
        <f t="shared" si="150"/>
        <v>0</v>
      </c>
      <c r="H163" s="548">
        <v>0.25</v>
      </c>
      <c r="I163" s="565">
        <f t="shared" si="155"/>
        <v>2.0000000000000107</v>
      </c>
      <c r="J163" s="548"/>
      <c r="K163" s="688"/>
      <c r="L163" s="565">
        <f t="shared" si="156"/>
        <v>0</v>
      </c>
      <c r="M163" s="688"/>
      <c r="N163" s="565">
        <f t="shared" si="145"/>
        <v>1.3250000000000072E-2</v>
      </c>
      <c r="O163" s="565">
        <f t="shared" si="157"/>
        <v>2</v>
      </c>
      <c r="P163" s="688"/>
      <c r="Q163" s="565">
        <f t="shared" si="151"/>
        <v>1.325E-2</v>
      </c>
      <c r="R163" s="565"/>
      <c r="S163" s="566"/>
      <c r="T163" s="685">
        <f t="shared" si="146"/>
        <v>0</v>
      </c>
      <c r="U163" s="685">
        <f t="shared" si="152"/>
        <v>0</v>
      </c>
      <c r="V163" s="685">
        <f t="shared" si="153"/>
        <v>0</v>
      </c>
      <c r="W163" s="684">
        <f t="shared" si="154"/>
        <v>1.3250000000000072E-2</v>
      </c>
      <c r="X163" s="682">
        <f t="shared" si="147"/>
        <v>0</v>
      </c>
      <c r="Y163" s="552"/>
      <c r="Z163" s="552"/>
      <c r="AA163" s="151"/>
    </row>
    <row r="164" spans="1:27" s="94" customFormat="1" x14ac:dyDescent="0.25">
      <c r="A164" s="95" t="s">
        <v>477</v>
      </c>
      <c r="B164" s="159"/>
      <c r="C164" s="565">
        <f t="shared" si="148"/>
        <v>0</v>
      </c>
      <c r="D164" s="159"/>
      <c r="E164" s="565">
        <f t="shared" si="149"/>
        <v>0</v>
      </c>
      <c r="F164" s="159"/>
      <c r="G164" s="565">
        <f t="shared" si="150"/>
        <v>0</v>
      </c>
      <c r="H164" s="548">
        <v>0.25</v>
      </c>
      <c r="I164" s="565">
        <f t="shared" si="155"/>
        <v>1.7500000000000107</v>
      </c>
      <c r="J164" s="548"/>
      <c r="K164" s="688"/>
      <c r="L164" s="565">
        <f t="shared" si="156"/>
        <v>0</v>
      </c>
      <c r="M164" s="688"/>
      <c r="N164" s="565">
        <f t="shared" si="145"/>
        <v>1.1593750000000071E-2</v>
      </c>
      <c r="O164" s="565">
        <f t="shared" si="157"/>
        <v>2</v>
      </c>
      <c r="P164" s="688"/>
      <c r="Q164" s="565">
        <f t="shared" si="151"/>
        <v>1.325E-2</v>
      </c>
      <c r="R164" s="565"/>
      <c r="S164" s="566"/>
      <c r="T164" s="685">
        <f t="shared" si="146"/>
        <v>0</v>
      </c>
      <c r="U164" s="685">
        <f t="shared" si="152"/>
        <v>0</v>
      </c>
      <c r="V164" s="685">
        <f t="shared" si="153"/>
        <v>0</v>
      </c>
      <c r="W164" s="684">
        <f t="shared" si="154"/>
        <v>1.1593750000000071E-2</v>
      </c>
      <c r="X164" s="682">
        <f t="shared" si="147"/>
        <v>0</v>
      </c>
      <c r="Y164" s="552"/>
      <c r="Z164" s="552"/>
      <c r="AA164" s="151"/>
    </row>
    <row r="165" spans="1:27" s="94" customFormat="1" x14ac:dyDescent="0.25">
      <c r="A165" s="95" t="s">
        <v>478</v>
      </c>
      <c r="B165" s="159"/>
      <c r="C165" s="565">
        <f t="shared" si="148"/>
        <v>0</v>
      </c>
      <c r="D165" s="159"/>
      <c r="E165" s="565">
        <f t="shared" si="149"/>
        <v>0</v>
      </c>
      <c r="F165" s="159"/>
      <c r="G165" s="565">
        <f t="shared" si="150"/>
        <v>0</v>
      </c>
      <c r="H165" s="548">
        <v>0.25</v>
      </c>
      <c r="I165" s="565">
        <f t="shared" si="155"/>
        <v>1.5000000000000107</v>
      </c>
      <c r="J165" s="548"/>
      <c r="K165" s="688"/>
      <c r="L165" s="565">
        <f t="shared" si="156"/>
        <v>0</v>
      </c>
      <c r="M165" s="688"/>
      <c r="N165" s="565">
        <f t="shared" si="145"/>
        <v>9.9375000000000695E-3</v>
      </c>
      <c r="O165" s="565">
        <f t="shared" si="157"/>
        <v>2</v>
      </c>
      <c r="P165" s="688"/>
      <c r="Q165" s="565">
        <f t="shared" si="151"/>
        <v>1.325E-2</v>
      </c>
      <c r="R165" s="565"/>
      <c r="S165" s="566"/>
      <c r="T165" s="685">
        <f t="shared" si="146"/>
        <v>0</v>
      </c>
      <c r="U165" s="685">
        <f t="shared" si="152"/>
        <v>0</v>
      </c>
      <c r="V165" s="685">
        <f t="shared" si="153"/>
        <v>0</v>
      </c>
      <c r="W165" s="684">
        <f t="shared" si="154"/>
        <v>9.9375000000000695E-3</v>
      </c>
      <c r="X165" s="682">
        <f t="shared" si="147"/>
        <v>0</v>
      </c>
      <c r="Y165" s="552"/>
      <c r="Z165" s="552"/>
      <c r="AA165" s="151"/>
    </row>
    <row r="166" spans="1:27" s="94" customFormat="1" x14ac:dyDescent="0.25">
      <c r="A166" s="95" t="s">
        <v>479</v>
      </c>
      <c r="B166" s="159"/>
      <c r="C166" s="565">
        <f t="shared" si="148"/>
        <v>0</v>
      </c>
      <c r="D166" s="159"/>
      <c r="E166" s="565">
        <f t="shared" si="149"/>
        <v>0</v>
      </c>
      <c r="F166" s="159"/>
      <c r="G166" s="565">
        <f t="shared" si="150"/>
        <v>0</v>
      </c>
      <c r="H166" s="548">
        <v>0.25</v>
      </c>
      <c r="I166" s="565">
        <f t="shared" si="155"/>
        <v>1.2500000000000107</v>
      </c>
      <c r="J166" s="548"/>
      <c r="K166" s="688"/>
      <c r="L166" s="565">
        <f t="shared" si="156"/>
        <v>0</v>
      </c>
      <c r="M166" s="688"/>
      <c r="N166" s="565">
        <f t="shared" si="145"/>
        <v>8.2812500000000715E-3</v>
      </c>
      <c r="O166" s="565">
        <f t="shared" si="157"/>
        <v>2</v>
      </c>
      <c r="P166" s="688"/>
      <c r="Q166" s="565">
        <f t="shared" si="151"/>
        <v>1.325E-2</v>
      </c>
      <c r="R166" s="565"/>
      <c r="S166" s="566"/>
      <c r="T166" s="685">
        <f t="shared" si="146"/>
        <v>0</v>
      </c>
      <c r="U166" s="685">
        <f t="shared" si="152"/>
        <v>0</v>
      </c>
      <c r="V166" s="685">
        <f t="shared" si="153"/>
        <v>0</v>
      </c>
      <c r="W166" s="684">
        <f t="shared" si="154"/>
        <v>8.2812500000000715E-3</v>
      </c>
      <c r="X166" s="682">
        <f t="shared" si="147"/>
        <v>0</v>
      </c>
      <c r="Y166" s="552"/>
      <c r="Z166" s="552"/>
      <c r="AA166" s="151"/>
    </row>
    <row r="167" spans="1:27" s="94" customFormat="1" x14ac:dyDescent="0.25">
      <c r="A167" s="95" t="s">
        <v>480</v>
      </c>
      <c r="B167" s="159"/>
      <c r="C167" s="565">
        <f t="shared" si="148"/>
        <v>0</v>
      </c>
      <c r="D167" s="159"/>
      <c r="E167" s="565">
        <f t="shared" si="149"/>
        <v>0</v>
      </c>
      <c r="F167" s="159"/>
      <c r="G167" s="565">
        <f t="shared" si="150"/>
        <v>0</v>
      </c>
      <c r="H167" s="548">
        <v>0.25</v>
      </c>
      <c r="I167" s="565">
        <f t="shared" si="155"/>
        <v>1.0000000000000107</v>
      </c>
      <c r="J167" s="548"/>
      <c r="K167" s="688"/>
      <c r="L167" s="565">
        <f t="shared" si="156"/>
        <v>0</v>
      </c>
      <c r="M167" s="688"/>
      <c r="N167" s="565">
        <f t="shared" si="145"/>
        <v>6.6250000000000709E-3</v>
      </c>
      <c r="O167" s="565">
        <f t="shared" si="157"/>
        <v>2</v>
      </c>
      <c r="P167" s="688"/>
      <c r="Q167" s="565">
        <f t="shared" si="151"/>
        <v>1.325E-2</v>
      </c>
      <c r="R167" s="565"/>
      <c r="S167" s="566"/>
      <c r="T167" s="685">
        <f t="shared" si="146"/>
        <v>0</v>
      </c>
      <c r="U167" s="685">
        <f t="shared" si="152"/>
        <v>0</v>
      </c>
      <c r="V167" s="685">
        <f t="shared" si="153"/>
        <v>0</v>
      </c>
      <c r="W167" s="684">
        <f t="shared" si="154"/>
        <v>6.6250000000000709E-3</v>
      </c>
      <c r="X167" s="682">
        <f t="shared" si="147"/>
        <v>0</v>
      </c>
      <c r="Y167" s="552"/>
      <c r="Z167" s="552"/>
      <c r="AA167" s="151"/>
    </row>
    <row r="168" spans="1:27" s="94" customFormat="1" x14ac:dyDescent="0.25">
      <c r="A168" s="95" t="s">
        <v>481</v>
      </c>
      <c r="B168" s="159"/>
      <c r="C168" s="565">
        <f t="shared" si="148"/>
        <v>0</v>
      </c>
      <c r="D168" s="159"/>
      <c r="E168" s="565">
        <f t="shared" si="149"/>
        <v>0</v>
      </c>
      <c r="F168" s="159"/>
      <c r="G168" s="565">
        <f t="shared" si="150"/>
        <v>0</v>
      </c>
      <c r="H168" s="548">
        <v>0.25</v>
      </c>
      <c r="I168" s="565">
        <f t="shared" si="155"/>
        <v>0.75000000000001066</v>
      </c>
      <c r="J168" s="548"/>
      <c r="K168" s="688"/>
      <c r="L168" s="565">
        <f t="shared" si="156"/>
        <v>0</v>
      </c>
      <c r="M168" s="688"/>
      <c r="N168" s="565">
        <f t="shared" si="145"/>
        <v>4.9687500000000703E-3</v>
      </c>
      <c r="O168" s="565">
        <f t="shared" si="157"/>
        <v>2</v>
      </c>
      <c r="P168" s="688"/>
      <c r="Q168" s="565">
        <f t="shared" si="151"/>
        <v>1.325E-2</v>
      </c>
      <c r="R168" s="565"/>
      <c r="S168" s="566"/>
      <c r="T168" s="685">
        <f t="shared" si="146"/>
        <v>0</v>
      </c>
      <c r="U168" s="685">
        <f t="shared" si="152"/>
        <v>0</v>
      </c>
      <c r="V168" s="685">
        <f t="shared" si="153"/>
        <v>0</v>
      </c>
      <c r="W168" s="684">
        <f t="shared" si="154"/>
        <v>4.9687500000000703E-3</v>
      </c>
      <c r="X168" s="682">
        <f t="shared" si="147"/>
        <v>0</v>
      </c>
      <c r="Y168" s="552"/>
      <c r="Z168" s="552"/>
      <c r="AA168" s="151"/>
    </row>
    <row r="169" spans="1:27" s="94" customFormat="1" x14ac:dyDescent="0.25">
      <c r="A169" s="95" t="s">
        <v>482</v>
      </c>
      <c r="B169" s="159"/>
      <c r="C169" s="565">
        <f t="shared" si="148"/>
        <v>0</v>
      </c>
      <c r="D169" s="159"/>
      <c r="E169" s="565">
        <f t="shared" si="149"/>
        <v>0</v>
      </c>
      <c r="F169" s="159"/>
      <c r="G169" s="565">
        <f t="shared" si="150"/>
        <v>0</v>
      </c>
      <c r="H169" s="548">
        <v>0.25</v>
      </c>
      <c r="I169" s="565">
        <f t="shared" si="155"/>
        <v>0.50000000000001066</v>
      </c>
      <c r="J169" s="548"/>
      <c r="K169" s="688"/>
      <c r="L169" s="565">
        <f t="shared" si="156"/>
        <v>0</v>
      </c>
      <c r="M169" s="688"/>
      <c r="N169" s="565">
        <f t="shared" si="145"/>
        <v>3.3125000000000706E-3</v>
      </c>
      <c r="O169" s="565">
        <f t="shared" si="157"/>
        <v>2</v>
      </c>
      <c r="P169" s="688"/>
      <c r="Q169" s="565">
        <f t="shared" si="151"/>
        <v>1.325E-2</v>
      </c>
      <c r="R169" s="565"/>
      <c r="S169" s="566"/>
      <c r="T169" s="685">
        <f t="shared" si="146"/>
        <v>0</v>
      </c>
      <c r="U169" s="685">
        <f t="shared" si="152"/>
        <v>0</v>
      </c>
      <c r="V169" s="685">
        <f t="shared" si="153"/>
        <v>0</v>
      </c>
      <c r="W169" s="684">
        <f t="shared" si="154"/>
        <v>3.3125000000000706E-3</v>
      </c>
      <c r="X169" s="682">
        <f t="shared" si="147"/>
        <v>0</v>
      </c>
      <c r="Y169" s="552"/>
      <c r="Z169" s="552"/>
      <c r="AA169" s="151"/>
    </row>
    <row r="170" spans="1:27" s="94" customFormat="1" x14ac:dyDescent="0.25">
      <c r="A170" s="95" t="s">
        <v>483</v>
      </c>
      <c r="B170" s="159"/>
      <c r="C170" s="565">
        <f t="shared" si="148"/>
        <v>0</v>
      </c>
      <c r="D170" s="159"/>
      <c r="E170" s="565">
        <f t="shared" si="149"/>
        <v>0</v>
      </c>
      <c r="F170" s="159"/>
      <c r="G170" s="565">
        <f t="shared" si="150"/>
        <v>0</v>
      </c>
      <c r="H170" s="548">
        <v>0.25</v>
      </c>
      <c r="I170" s="565">
        <f t="shared" si="155"/>
        <v>0.25000000000001066</v>
      </c>
      <c r="J170" s="548"/>
      <c r="K170" s="688"/>
      <c r="L170" s="565">
        <f t="shared" si="156"/>
        <v>0</v>
      </c>
      <c r="M170" s="688"/>
      <c r="N170" s="565">
        <f t="shared" si="145"/>
        <v>1.6562500000000709E-3</v>
      </c>
      <c r="O170" s="565">
        <f t="shared" si="157"/>
        <v>2</v>
      </c>
      <c r="P170" s="688"/>
      <c r="Q170" s="565">
        <f t="shared" si="151"/>
        <v>1.325E-2</v>
      </c>
      <c r="R170" s="565"/>
      <c r="S170" s="566"/>
      <c r="T170" s="685">
        <f t="shared" si="146"/>
        <v>0</v>
      </c>
      <c r="U170" s="685">
        <f t="shared" si="152"/>
        <v>0</v>
      </c>
      <c r="V170" s="685">
        <f t="shared" si="153"/>
        <v>0</v>
      </c>
      <c r="W170" s="684">
        <f t="shared" si="154"/>
        <v>1.6562500000000709E-3</v>
      </c>
      <c r="X170" s="682">
        <f t="shared" si="147"/>
        <v>0</v>
      </c>
      <c r="Y170" s="552"/>
      <c r="Z170" s="552"/>
      <c r="AA170" s="151"/>
    </row>
    <row r="171" spans="1:27" s="94" customFormat="1" x14ac:dyDescent="0.25">
      <c r="A171" s="567" t="s">
        <v>258</v>
      </c>
      <c r="B171" s="566">
        <f>SUM(B159:B170)</f>
        <v>0</v>
      </c>
      <c r="C171" s="565"/>
      <c r="D171" s="566">
        <f>SUM(D159:D170)</f>
        <v>0</v>
      </c>
      <c r="E171" s="565"/>
      <c r="F171" s="566">
        <f>SUM(F159:F170)</f>
        <v>0</v>
      </c>
      <c r="G171" s="565"/>
      <c r="H171" s="566">
        <f>SUM(H159:H170)</f>
        <v>3</v>
      </c>
      <c r="I171" s="565"/>
      <c r="J171" s="566">
        <f>SUM(J159:J170)</f>
        <v>0</v>
      </c>
      <c r="K171" s="566">
        <f>SUM(K159:K170)</f>
        <v>0</v>
      </c>
      <c r="L171" s="565"/>
      <c r="M171" s="566">
        <f>SUM(M159:M170)</f>
        <v>0</v>
      </c>
      <c r="N171" s="566">
        <f>SUM(N159:N170)</f>
        <v>0.12918750000000087</v>
      </c>
      <c r="O171" s="565"/>
      <c r="P171" s="566">
        <f>SUM(P159:P170)</f>
        <v>0</v>
      </c>
      <c r="Q171" s="566">
        <f>SUM(Q159:Q170)</f>
        <v>0.15900000000000003</v>
      </c>
      <c r="R171" s="566"/>
      <c r="S171" s="566">
        <f>N171+Q171</f>
        <v>0.28818750000000093</v>
      </c>
      <c r="T171" s="566">
        <f>SUM(T159:T170)</f>
        <v>0</v>
      </c>
      <c r="U171" s="566">
        <f>SUM(U159:U170)</f>
        <v>0</v>
      </c>
      <c r="V171" s="566">
        <f>SUM(V159:V170)</f>
        <v>0</v>
      </c>
      <c r="W171" s="566">
        <f>SUM(W159:W170)</f>
        <v>0.12918750000000087</v>
      </c>
      <c r="X171" s="566">
        <f>SUM(X159:X170)</f>
        <v>0</v>
      </c>
      <c r="Y171" s="552"/>
      <c r="Z171" s="552"/>
      <c r="AA171" s="151"/>
    </row>
    <row r="172" spans="1:27" s="94" customFormat="1" x14ac:dyDescent="0.25">
      <c r="A172" s="106">
        <f>'Oper.St.'!N11</f>
        <v>2031</v>
      </c>
      <c r="B172" s="1011">
        <f>A172</f>
        <v>2031</v>
      </c>
      <c r="C172" s="1011">
        <f>B172</f>
        <v>2031</v>
      </c>
      <c r="D172" s="1011">
        <f t="shared" ref="D172:X172" si="158">C172</f>
        <v>2031</v>
      </c>
      <c r="E172" s="1011">
        <f t="shared" si="158"/>
        <v>2031</v>
      </c>
      <c r="F172" s="1011">
        <f t="shared" si="158"/>
        <v>2031</v>
      </c>
      <c r="G172" s="1011">
        <f t="shared" si="158"/>
        <v>2031</v>
      </c>
      <c r="H172" s="1011">
        <f t="shared" si="158"/>
        <v>2031</v>
      </c>
      <c r="I172" s="1011">
        <f t="shared" si="158"/>
        <v>2031</v>
      </c>
      <c r="J172" s="1011"/>
      <c r="K172" s="1011">
        <f>I172</f>
        <v>2031</v>
      </c>
      <c r="L172" s="1011">
        <f t="shared" si="158"/>
        <v>2031</v>
      </c>
      <c r="M172" s="1011">
        <f t="shared" si="158"/>
        <v>2031</v>
      </c>
      <c r="N172" s="1011">
        <f t="shared" si="158"/>
        <v>2031</v>
      </c>
      <c r="O172" s="1011">
        <f t="shared" si="158"/>
        <v>2031</v>
      </c>
      <c r="P172" s="1011">
        <f t="shared" si="158"/>
        <v>2031</v>
      </c>
      <c r="Q172" s="1011">
        <f>O172</f>
        <v>2031</v>
      </c>
      <c r="R172" s="1011">
        <f t="shared" si="158"/>
        <v>2031</v>
      </c>
      <c r="S172" s="1011">
        <f t="shared" si="158"/>
        <v>2031</v>
      </c>
      <c r="T172" s="1011">
        <f t="shared" si="158"/>
        <v>2031</v>
      </c>
      <c r="U172" s="1011">
        <f t="shared" si="158"/>
        <v>2031</v>
      </c>
      <c r="V172" s="1011">
        <f t="shared" si="158"/>
        <v>2031</v>
      </c>
      <c r="W172" s="1011">
        <f t="shared" si="158"/>
        <v>2031</v>
      </c>
      <c r="X172" s="1011">
        <f t="shared" si="158"/>
        <v>2031</v>
      </c>
      <c r="Y172" s="552"/>
      <c r="Z172" s="552"/>
      <c r="AA172" s="151"/>
    </row>
    <row r="173" spans="1:27" s="94" customFormat="1" x14ac:dyDescent="0.25">
      <c r="A173" s="95" t="s">
        <v>472</v>
      </c>
      <c r="B173" s="159"/>
      <c r="C173" s="565">
        <f>C170-B170</f>
        <v>0</v>
      </c>
      <c r="D173" s="159"/>
      <c r="E173" s="565">
        <f>E170-D170</f>
        <v>0</v>
      </c>
      <c r="F173" s="159"/>
      <c r="G173" s="565">
        <f>G170-F170</f>
        <v>0</v>
      </c>
      <c r="H173" s="548"/>
      <c r="I173" s="565">
        <f>I170-H170+J173</f>
        <v>1.0658141036401503E-14</v>
      </c>
      <c r="J173" s="548"/>
      <c r="K173" s="688"/>
      <c r="L173" s="565">
        <f>L170-K170+M173</f>
        <v>0</v>
      </c>
      <c r="M173" s="688"/>
      <c r="N173" s="565">
        <f t="shared" ref="N173:N184" si="159">T173+U173+V173+W173+X173</f>
        <v>7.0610184366159957E-17</v>
      </c>
      <c r="O173" s="565">
        <f>O170+P173</f>
        <v>2</v>
      </c>
      <c r="P173" s="688"/>
      <c r="Q173" s="565">
        <f>O173*$Q$16/100/12*$R$16/100</f>
        <v>1.325E-2</v>
      </c>
      <c r="R173" s="565"/>
      <c r="S173" s="566"/>
      <c r="T173" s="685">
        <f t="shared" ref="T173:T184" si="160">C173*$C$17/100/12</f>
        <v>0</v>
      </c>
      <c r="U173" s="685">
        <f>E173*$E$17/100/12</f>
        <v>0</v>
      </c>
      <c r="V173" s="685">
        <f>G173*$G$17/100/12</f>
        <v>0</v>
      </c>
      <c r="W173" s="684">
        <f>I173*$I$17/100/12</f>
        <v>7.0610184366159957E-17</v>
      </c>
      <c r="X173" s="682">
        <f t="shared" ref="X173:X184" si="161">L173*$L$17/100/12</f>
        <v>0</v>
      </c>
      <c r="Y173" s="552"/>
      <c r="Z173" s="552"/>
      <c r="AA173" s="151"/>
    </row>
    <row r="174" spans="1:27" s="94" customFormat="1" x14ac:dyDescent="0.25">
      <c r="A174" s="95" t="s">
        <v>473</v>
      </c>
      <c r="B174" s="159"/>
      <c r="C174" s="565">
        <f t="shared" ref="C174:C184" si="162">C173-B173</f>
        <v>0</v>
      </c>
      <c r="D174" s="159"/>
      <c r="E174" s="565">
        <f t="shared" ref="E174:E184" si="163">E173-D173</f>
        <v>0</v>
      </c>
      <c r="F174" s="159"/>
      <c r="G174" s="565">
        <f t="shared" ref="G174:G184" si="164">G173-F173</f>
        <v>0</v>
      </c>
      <c r="H174" s="548"/>
      <c r="I174" s="565">
        <f>I173-H173+J174</f>
        <v>1.0658141036401503E-14</v>
      </c>
      <c r="J174" s="548"/>
      <c r="K174" s="688"/>
      <c r="L174" s="565">
        <f>L173-K173+M174</f>
        <v>0</v>
      </c>
      <c r="M174" s="688"/>
      <c r="N174" s="565">
        <f t="shared" si="159"/>
        <v>7.0610184366159957E-17</v>
      </c>
      <c r="O174" s="565">
        <f>O173+P174</f>
        <v>2</v>
      </c>
      <c r="P174" s="688"/>
      <c r="Q174" s="565">
        <f t="shared" ref="Q174:Q184" si="165">O174*$Q$16/100/12*$R$16/100</f>
        <v>1.325E-2</v>
      </c>
      <c r="R174" s="565"/>
      <c r="S174" s="566"/>
      <c r="T174" s="685">
        <f t="shared" si="160"/>
        <v>0</v>
      </c>
      <c r="U174" s="685">
        <f t="shared" ref="U174:U184" si="166">E174*$E$17/100/12</f>
        <v>0</v>
      </c>
      <c r="V174" s="685">
        <f t="shared" ref="V174:V184" si="167">G174*$G$17/100/12</f>
        <v>0</v>
      </c>
      <c r="W174" s="684">
        <f t="shared" ref="W174:W184" si="168">I174*$I$17/100/12</f>
        <v>7.0610184366159957E-17</v>
      </c>
      <c r="X174" s="682">
        <f t="shared" si="161"/>
        <v>0</v>
      </c>
      <c r="Y174" s="552"/>
      <c r="Z174" s="552"/>
      <c r="AA174" s="151"/>
    </row>
    <row r="175" spans="1:27" s="94" customFormat="1" x14ac:dyDescent="0.25">
      <c r="A175" s="95" t="s">
        <v>474</v>
      </c>
      <c r="B175" s="159"/>
      <c r="C175" s="565">
        <f t="shared" si="162"/>
        <v>0</v>
      </c>
      <c r="D175" s="159"/>
      <c r="E175" s="565">
        <f t="shared" si="163"/>
        <v>0</v>
      </c>
      <c r="F175" s="159"/>
      <c r="G175" s="565">
        <f t="shared" si="164"/>
        <v>0</v>
      </c>
      <c r="H175" s="548"/>
      <c r="I175" s="565">
        <f t="shared" ref="I175:I184" si="169">I174-H174+J175</f>
        <v>1.0658141036401503E-14</v>
      </c>
      <c r="J175" s="548"/>
      <c r="K175" s="688"/>
      <c r="L175" s="565">
        <f t="shared" ref="L175:L184" si="170">L174-K174+M175</f>
        <v>0</v>
      </c>
      <c r="M175" s="688"/>
      <c r="N175" s="565">
        <f t="shared" si="159"/>
        <v>7.0610184366159957E-17</v>
      </c>
      <c r="O175" s="565">
        <f t="shared" ref="O175:O184" si="171">O174+P175</f>
        <v>2</v>
      </c>
      <c r="P175" s="688"/>
      <c r="Q175" s="565">
        <f t="shared" si="165"/>
        <v>1.325E-2</v>
      </c>
      <c r="R175" s="565"/>
      <c r="S175" s="566"/>
      <c r="T175" s="685">
        <f t="shared" si="160"/>
        <v>0</v>
      </c>
      <c r="U175" s="685">
        <f t="shared" si="166"/>
        <v>0</v>
      </c>
      <c r="V175" s="685">
        <f t="shared" si="167"/>
        <v>0</v>
      </c>
      <c r="W175" s="684">
        <f t="shared" si="168"/>
        <v>7.0610184366159957E-17</v>
      </c>
      <c r="X175" s="682">
        <f t="shared" si="161"/>
        <v>0</v>
      </c>
      <c r="Y175" s="552"/>
      <c r="Z175" s="552"/>
      <c r="AA175" s="151"/>
    </row>
    <row r="176" spans="1:27" s="94" customFormat="1" x14ac:dyDescent="0.25">
      <c r="A176" s="95" t="s">
        <v>475</v>
      </c>
      <c r="B176" s="159"/>
      <c r="C176" s="565">
        <f t="shared" si="162"/>
        <v>0</v>
      </c>
      <c r="D176" s="159"/>
      <c r="E176" s="565">
        <f t="shared" si="163"/>
        <v>0</v>
      </c>
      <c r="F176" s="159"/>
      <c r="G176" s="565">
        <f t="shared" si="164"/>
        <v>0</v>
      </c>
      <c r="H176" s="548"/>
      <c r="I176" s="565">
        <f t="shared" si="169"/>
        <v>1.0658141036401503E-14</v>
      </c>
      <c r="J176" s="548"/>
      <c r="K176" s="688"/>
      <c r="L176" s="565">
        <f t="shared" si="170"/>
        <v>0</v>
      </c>
      <c r="M176" s="688"/>
      <c r="N176" s="565">
        <f t="shared" si="159"/>
        <v>7.0610184366159957E-17</v>
      </c>
      <c r="O176" s="565">
        <f t="shared" si="171"/>
        <v>2</v>
      </c>
      <c r="P176" s="688"/>
      <c r="Q176" s="565">
        <f t="shared" si="165"/>
        <v>1.325E-2</v>
      </c>
      <c r="R176" s="565"/>
      <c r="S176" s="566"/>
      <c r="T176" s="685">
        <f t="shared" si="160"/>
        <v>0</v>
      </c>
      <c r="U176" s="685">
        <f t="shared" si="166"/>
        <v>0</v>
      </c>
      <c r="V176" s="685">
        <f t="shared" si="167"/>
        <v>0</v>
      </c>
      <c r="W176" s="684">
        <f t="shared" si="168"/>
        <v>7.0610184366159957E-17</v>
      </c>
      <c r="X176" s="682">
        <f t="shared" si="161"/>
        <v>0</v>
      </c>
      <c r="Y176" s="552"/>
      <c r="Z176" s="552"/>
      <c r="AA176" s="151"/>
    </row>
    <row r="177" spans="1:27" s="94" customFormat="1" x14ac:dyDescent="0.25">
      <c r="A177" s="95" t="s">
        <v>476</v>
      </c>
      <c r="B177" s="159"/>
      <c r="C177" s="565">
        <f t="shared" si="162"/>
        <v>0</v>
      </c>
      <c r="D177" s="159"/>
      <c r="E177" s="565">
        <f t="shared" si="163"/>
        <v>0</v>
      </c>
      <c r="F177" s="159"/>
      <c r="G177" s="565">
        <f t="shared" si="164"/>
        <v>0</v>
      </c>
      <c r="H177" s="548"/>
      <c r="I177" s="565">
        <f t="shared" si="169"/>
        <v>1.0658141036401503E-14</v>
      </c>
      <c r="J177" s="548"/>
      <c r="K177" s="688"/>
      <c r="L177" s="565">
        <f t="shared" si="170"/>
        <v>0</v>
      </c>
      <c r="M177" s="688"/>
      <c r="N177" s="565">
        <f t="shared" si="159"/>
        <v>7.0610184366159957E-17</v>
      </c>
      <c r="O177" s="565">
        <f t="shared" si="171"/>
        <v>2</v>
      </c>
      <c r="P177" s="688"/>
      <c r="Q177" s="565">
        <f t="shared" si="165"/>
        <v>1.325E-2</v>
      </c>
      <c r="R177" s="565"/>
      <c r="S177" s="566"/>
      <c r="T177" s="685">
        <f t="shared" si="160"/>
        <v>0</v>
      </c>
      <c r="U177" s="685">
        <f t="shared" si="166"/>
        <v>0</v>
      </c>
      <c r="V177" s="685">
        <f t="shared" si="167"/>
        <v>0</v>
      </c>
      <c r="W177" s="684">
        <f t="shared" si="168"/>
        <v>7.0610184366159957E-17</v>
      </c>
      <c r="X177" s="682">
        <f t="shared" si="161"/>
        <v>0</v>
      </c>
      <c r="Y177" s="552"/>
      <c r="Z177" s="552"/>
      <c r="AA177" s="151"/>
    </row>
    <row r="178" spans="1:27" s="94" customFormat="1" x14ac:dyDescent="0.25">
      <c r="A178" s="95" t="s">
        <v>477</v>
      </c>
      <c r="B178" s="159"/>
      <c r="C178" s="565">
        <f t="shared" si="162"/>
        <v>0</v>
      </c>
      <c r="D178" s="159"/>
      <c r="E178" s="565">
        <f t="shared" si="163"/>
        <v>0</v>
      </c>
      <c r="F178" s="159"/>
      <c r="G178" s="565">
        <f t="shared" si="164"/>
        <v>0</v>
      </c>
      <c r="H178" s="548"/>
      <c r="I178" s="565">
        <f t="shared" si="169"/>
        <v>1.0658141036401503E-14</v>
      </c>
      <c r="J178" s="548"/>
      <c r="K178" s="688"/>
      <c r="L178" s="565">
        <f t="shared" si="170"/>
        <v>0</v>
      </c>
      <c r="M178" s="688"/>
      <c r="N178" s="565">
        <f t="shared" si="159"/>
        <v>7.0610184366159957E-17</v>
      </c>
      <c r="O178" s="565">
        <f t="shared" si="171"/>
        <v>2</v>
      </c>
      <c r="P178" s="688"/>
      <c r="Q178" s="565">
        <f t="shared" si="165"/>
        <v>1.325E-2</v>
      </c>
      <c r="R178" s="565"/>
      <c r="S178" s="566"/>
      <c r="T178" s="685">
        <f t="shared" si="160"/>
        <v>0</v>
      </c>
      <c r="U178" s="685">
        <f t="shared" si="166"/>
        <v>0</v>
      </c>
      <c r="V178" s="685">
        <f t="shared" si="167"/>
        <v>0</v>
      </c>
      <c r="W178" s="684">
        <f t="shared" si="168"/>
        <v>7.0610184366159957E-17</v>
      </c>
      <c r="X178" s="682">
        <f t="shared" si="161"/>
        <v>0</v>
      </c>
      <c r="Y178" s="552"/>
      <c r="Z178" s="552"/>
      <c r="AA178" s="151"/>
    </row>
    <row r="179" spans="1:27" s="94" customFormat="1" x14ac:dyDescent="0.25">
      <c r="A179" s="95" t="s">
        <v>478</v>
      </c>
      <c r="B179" s="159"/>
      <c r="C179" s="565">
        <f t="shared" si="162"/>
        <v>0</v>
      </c>
      <c r="D179" s="159"/>
      <c r="E179" s="565">
        <f t="shared" si="163"/>
        <v>0</v>
      </c>
      <c r="F179" s="159"/>
      <c r="G179" s="565">
        <f t="shared" si="164"/>
        <v>0</v>
      </c>
      <c r="H179" s="548"/>
      <c r="I179" s="565">
        <f t="shared" si="169"/>
        <v>1.0658141036401503E-14</v>
      </c>
      <c r="J179" s="548"/>
      <c r="K179" s="688"/>
      <c r="L179" s="565">
        <f t="shared" si="170"/>
        <v>0</v>
      </c>
      <c r="M179" s="688"/>
      <c r="N179" s="565">
        <f t="shared" si="159"/>
        <v>7.0610184366159957E-17</v>
      </c>
      <c r="O179" s="565">
        <f t="shared" si="171"/>
        <v>2</v>
      </c>
      <c r="P179" s="688"/>
      <c r="Q179" s="565">
        <f t="shared" si="165"/>
        <v>1.325E-2</v>
      </c>
      <c r="R179" s="565"/>
      <c r="S179" s="566"/>
      <c r="T179" s="685">
        <f t="shared" si="160"/>
        <v>0</v>
      </c>
      <c r="U179" s="685">
        <f t="shared" si="166"/>
        <v>0</v>
      </c>
      <c r="V179" s="685">
        <f t="shared" si="167"/>
        <v>0</v>
      </c>
      <c r="W179" s="684">
        <f t="shared" si="168"/>
        <v>7.0610184366159957E-17</v>
      </c>
      <c r="X179" s="682">
        <f t="shared" si="161"/>
        <v>0</v>
      </c>
      <c r="Y179" s="552"/>
      <c r="Z179" s="552"/>
      <c r="AA179" s="151"/>
    </row>
    <row r="180" spans="1:27" s="94" customFormat="1" x14ac:dyDescent="0.25">
      <c r="A180" s="95" t="s">
        <v>479</v>
      </c>
      <c r="B180" s="159"/>
      <c r="C180" s="565">
        <f t="shared" si="162"/>
        <v>0</v>
      </c>
      <c r="D180" s="159"/>
      <c r="E180" s="565">
        <f t="shared" si="163"/>
        <v>0</v>
      </c>
      <c r="F180" s="159"/>
      <c r="G180" s="565">
        <f t="shared" si="164"/>
        <v>0</v>
      </c>
      <c r="H180" s="548"/>
      <c r="I180" s="565">
        <f t="shared" si="169"/>
        <v>1.0658141036401503E-14</v>
      </c>
      <c r="J180" s="548"/>
      <c r="K180" s="688"/>
      <c r="L180" s="565">
        <f t="shared" si="170"/>
        <v>0</v>
      </c>
      <c r="M180" s="688"/>
      <c r="N180" s="565">
        <f t="shared" si="159"/>
        <v>7.0610184366159957E-17</v>
      </c>
      <c r="O180" s="565">
        <f t="shared" si="171"/>
        <v>2</v>
      </c>
      <c r="P180" s="688"/>
      <c r="Q180" s="565">
        <f t="shared" si="165"/>
        <v>1.325E-2</v>
      </c>
      <c r="R180" s="565"/>
      <c r="S180" s="566"/>
      <c r="T180" s="685">
        <f t="shared" si="160"/>
        <v>0</v>
      </c>
      <c r="U180" s="685">
        <f t="shared" si="166"/>
        <v>0</v>
      </c>
      <c r="V180" s="685">
        <f t="shared" si="167"/>
        <v>0</v>
      </c>
      <c r="W180" s="684">
        <f t="shared" si="168"/>
        <v>7.0610184366159957E-17</v>
      </c>
      <c r="X180" s="682">
        <f t="shared" si="161"/>
        <v>0</v>
      </c>
      <c r="Y180" s="552"/>
      <c r="Z180" s="552"/>
      <c r="AA180" s="151"/>
    </row>
    <row r="181" spans="1:27" s="94" customFormat="1" x14ac:dyDescent="0.25">
      <c r="A181" s="95" t="s">
        <v>480</v>
      </c>
      <c r="B181" s="159"/>
      <c r="C181" s="565">
        <f t="shared" si="162"/>
        <v>0</v>
      </c>
      <c r="D181" s="159"/>
      <c r="E181" s="565">
        <f t="shared" si="163"/>
        <v>0</v>
      </c>
      <c r="F181" s="159"/>
      <c r="G181" s="565">
        <f t="shared" si="164"/>
        <v>0</v>
      </c>
      <c r="H181" s="548"/>
      <c r="I181" s="565">
        <f t="shared" si="169"/>
        <v>1.0658141036401503E-14</v>
      </c>
      <c r="J181" s="548"/>
      <c r="K181" s="688"/>
      <c r="L181" s="565">
        <f t="shared" si="170"/>
        <v>0</v>
      </c>
      <c r="M181" s="688"/>
      <c r="N181" s="565">
        <f t="shared" si="159"/>
        <v>7.0610184366159957E-17</v>
      </c>
      <c r="O181" s="565">
        <f t="shared" si="171"/>
        <v>2</v>
      </c>
      <c r="P181" s="688"/>
      <c r="Q181" s="565">
        <f t="shared" si="165"/>
        <v>1.325E-2</v>
      </c>
      <c r="R181" s="565"/>
      <c r="S181" s="566"/>
      <c r="T181" s="685">
        <f t="shared" si="160"/>
        <v>0</v>
      </c>
      <c r="U181" s="685">
        <f t="shared" si="166"/>
        <v>0</v>
      </c>
      <c r="V181" s="685">
        <f t="shared" si="167"/>
        <v>0</v>
      </c>
      <c r="W181" s="684">
        <f t="shared" si="168"/>
        <v>7.0610184366159957E-17</v>
      </c>
      <c r="X181" s="682">
        <f t="shared" si="161"/>
        <v>0</v>
      </c>
      <c r="Y181" s="552"/>
      <c r="Z181" s="552"/>
      <c r="AA181" s="151"/>
    </row>
    <row r="182" spans="1:27" s="94" customFormat="1" x14ac:dyDescent="0.25">
      <c r="A182" s="95" t="s">
        <v>481</v>
      </c>
      <c r="B182" s="159"/>
      <c r="C182" s="565">
        <f t="shared" si="162"/>
        <v>0</v>
      </c>
      <c r="D182" s="159"/>
      <c r="E182" s="565">
        <f t="shared" si="163"/>
        <v>0</v>
      </c>
      <c r="F182" s="159"/>
      <c r="G182" s="565">
        <f t="shared" si="164"/>
        <v>0</v>
      </c>
      <c r="H182" s="548"/>
      <c r="I182" s="565">
        <f t="shared" si="169"/>
        <v>1.0658141036401503E-14</v>
      </c>
      <c r="J182" s="548"/>
      <c r="K182" s="688"/>
      <c r="L182" s="565">
        <f t="shared" si="170"/>
        <v>0</v>
      </c>
      <c r="M182" s="688"/>
      <c r="N182" s="565">
        <f t="shared" si="159"/>
        <v>7.0610184366159957E-17</v>
      </c>
      <c r="O182" s="565">
        <f t="shared" si="171"/>
        <v>2</v>
      </c>
      <c r="P182" s="688"/>
      <c r="Q182" s="565">
        <f t="shared" si="165"/>
        <v>1.325E-2</v>
      </c>
      <c r="R182" s="565"/>
      <c r="S182" s="566"/>
      <c r="T182" s="685">
        <f t="shared" si="160"/>
        <v>0</v>
      </c>
      <c r="U182" s="685">
        <f t="shared" si="166"/>
        <v>0</v>
      </c>
      <c r="V182" s="685">
        <f t="shared" si="167"/>
        <v>0</v>
      </c>
      <c r="W182" s="684">
        <f t="shared" si="168"/>
        <v>7.0610184366159957E-17</v>
      </c>
      <c r="X182" s="682">
        <f t="shared" si="161"/>
        <v>0</v>
      </c>
      <c r="Y182" s="552"/>
      <c r="Z182" s="552"/>
      <c r="AA182" s="151"/>
    </row>
    <row r="183" spans="1:27" s="94" customFormat="1" x14ac:dyDescent="0.25">
      <c r="A183" s="95" t="s">
        <v>482</v>
      </c>
      <c r="B183" s="159"/>
      <c r="C183" s="565">
        <f t="shared" si="162"/>
        <v>0</v>
      </c>
      <c r="D183" s="159"/>
      <c r="E183" s="565">
        <f t="shared" si="163"/>
        <v>0</v>
      </c>
      <c r="F183" s="159"/>
      <c r="G183" s="565">
        <f t="shared" si="164"/>
        <v>0</v>
      </c>
      <c r="H183" s="548"/>
      <c r="I183" s="565">
        <f t="shared" si="169"/>
        <v>1.0658141036401503E-14</v>
      </c>
      <c r="J183" s="548"/>
      <c r="K183" s="688"/>
      <c r="L183" s="565">
        <f t="shared" si="170"/>
        <v>0</v>
      </c>
      <c r="M183" s="688"/>
      <c r="N183" s="565">
        <f t="shared" si="159"/>
        <v>7.0610184366159957E-17</v>
      </c>
      <c r="O183" s="565">
        <f t="shared" si="171"/>
        <v>2</v>
      </c>
      <c r="P183" s="688"/>
      <c r="Q183" s="565">
        <f t="shared" si="165"/>
        <v>1.325E-2</v>
      </c>
      <c r="R183" s="565"/>
      <c r="S183" s="566"/>
      <c r="T183" s="685">
        <f t="shared" si="160"/>
        <v>0</v>
      </c>
      <c r="U183" s="685">
        <f t="shared" si="166"/>
        <v>0</v>
      </c>
      <c r="V183" s="685">
        <f t="shared" si="167"/>
        <v>0</v>
      </c>
      <c r="W183" s="684">
        <f t="shared" si="168"/>
        <v>7.0610184366159957E-17</v>
      </c>
      <c r="X183" s="682">
        <f t="shared" si="161"/>
        <v>0</v>
      </c>
      <c r="Y183" s="552"/>
      <c r="Z183" s="552"/>
      <c r="AA183" s="151"/>
    </row>
    <row r="184" spans="1:27" s="94" customFormat="1" x14ac:dyDescent="0.25">
      <c r="A184" s="95" t="s">
        <v>483</v>
      </c>
      <c r="B184" s="159"/>
      <c r="C184" s="565">
        <f t="shared" si="162"/>
        <v>0</v>
      </c>
      <c r="D184" s="159"/>
      <c r="E184" s="565">
        <f t="shared" si="163"/>
        <v>0</v>
      </c>
      <c r="F184" s="159"/>
      <c r="G184" s="565">
        <f t="shared" si="164"/>
        <v>0</v>
      </c>
      <c r="H184" s="548"/>
      <c r="I184" s="565">
        <f t="shared" si="169"/>
        <v>1.0658141036401503E-14</v>
      </c>
      <c r="J184" s="548"/>
      <c r="K184" s="688"/>
      <c r="L184" s="565">
        <f t="shared" si="170"/>
        <v>0</v>
      </c>
      <c r="M184" s="688"/>
      <c r="N184" s="565">
        <f t="shared" si="159"/>
        <v>7.0610184366159957E-17</v>
      </c>
      <c r="O184" s="565">
        <f t="shared" si="171"/>
        <v>2</v>
      </c>
      <c r="P184" s="688"/>
      <c r="Q184" s="565">
        <f t="shared" si="165"/>
        <v>1.325E-2</v>
      </c>
      <c r="R184" s="565"/>
      <c r="S184" s="566"/>
      <c r="T184" s="685">
        <f t="shared" si="160"/>
        <v>0</v>
      </c>
      <c r="U184" s="685">
        <f t="shared" si="166"/>
        <v>0</v>
      </c>
      <c r="V184" s="685">
        <f t="shared" si="167"/>
        <v>0</v>
      </c>
      <c r="W184" s="684">
        <f t="shared" si="168"/>
        <v>7.0610184366159957E-17</v>
      </c>
      <c r="X184" s="682">
        <f t="shared" si="161"/>
        <v>0</v>
      </c>
      <c r="Y184" s="552"/>
      <c r="Z184" s="552"/>
      <c r="AA184" s="151"/>
    </row>
    <row r="185" spans="1:27" s="94" customFormat="1" x14ac:dyDescent="0.25">
      <c r="A185" s="567" t="s">
        <v>258</v>
      </c>
      <c r="B185" s="566">
        <f>SUM(B173:B184)</f>
        <v>0</v>
      </c>
      <c r="C185" s="565"/>
      <c r="D185" s="566">
        <f>SUM(D173:D184)</f>
        <v>0</v>
      </c>
      <c r="E185" s="565"/>
      <c r="F185" s="566">
        <f>SUM(F173:F184)</f>
        <v>0</v>
      </c>
      <c r="G185" s="565"/>
      <c r="H185" s="566">
        <f>SUM(H173:H184)</f>
        <v>0</v>
      </c>
      <c r="I185" s="565"/>
      <c r="J185" s="566">
        <f>SUM(J173:J184)</f>
        <v>0</v>
      </c>
      <c r="K185" s="566">
        <f>SUM(K173:K184)</f>
        <v>0</v>
      </c>
      <c r="L185" s="565"/>
      <c r="M185" s="566">
        <f>SUM(M173:M184)</f>
        <v>0</v>
      </c>
      <c r="N185" s="566">
        <f>SUM(N173:N184)</f>
        <v>8.4732221239391953E-16</v>
      </c>
      <c r="O185" s="565"/>
      <c r="P185" s="566">
        <f>SUM(P173:P184)</f>
        <v>0</v>
      </c>
      <c r="Q185" s="566">
        <f>SUM(Q173:Q184)</f>
        <v>0.15900000000000003</v>
      </c>
      <c r="R185" s="566"/>
      <c r="S185" s="566">
        <f>N185+Q185</f>
        <v>0.15900000000000089</v>
      </c>
      <c r="T185" s="566">
        <f>SUM(T173:T184)</f>
        <v>0</v>
      </c>
      <c r="U185" s="566">
        <f>SUM(U173:U184)</f>
        <v>0</v>
      </c>
      <c r="V185" s="566">
        <f>SUM(V173:V184)</f>
        <v>0</v>
      </c>
      <c r="W185" s="566">
        <f>SUM(W173:W184)</f>
        <v>8.4732221239391953E-16</v>
      </c>
      <c r="X185" s="566">
        <f>SUM(X173:X184)</f>
        <v>0</v>
      </c>
      <c r="Y185" s="552"/>
      <c r="Z185" s="552"/>
      <c r="AA185" s="151"/>
    </row>
    <row r="186" spans="1:27" s="94" customFormat="1" x14ac:dyDescent="0.25">
      <c r="A186" s="106">
        <f>'Oper.St.'!O11</f>
        <v>2032</v>
      </c>
      <c r="B186" s="1011">
        <f>A186</f>
        <v>2032</v>
      </c>
      <c r="C186" s="1011">
        <f>B186</f>
        <v>2032</v>
      </c>
      <c r="D186" s="1011">
        <f t="shared" ref="D186:X186" si="172">C186</f>
        <v>2032</v>
      </c>
      <c r="E186" s="1011">
        <f t="shared" si="172"/>
        <v>2032</v>
      </c>
      <c r="F186" s="1011">
        <f t="shared" si="172"/>
        <v>2032</v>
      </c>
      <c r="G186" s="1011">
        <f t="shared" si="172"/>
        <v>2032</v>
      </c>
      <c r="H186" s="1011">
        <f t="shared" si="172"/>
        <v>2032</v>
      </c>
      <c r="I186" s="1011">
        <f t="shared" si="172"/>
        <v>2032</v>
      </c>
      <c r="J186" s="1011"/>
      <c r="K186" s="1011">
        <f>I186</f>
        <v>2032</v>
      </c>
      <c r="L186" s="1011">
        <f t="shared" si="172"/>
        <v>2032</v>
      </c>
      <c r="M186" s="1011">
        <f t="shared" si="172"/>
        <v>2032</v>
      </c>
      <c r="N186" s="1011">
        <f t="shared" si="172"/>
        <v>2032</v>
      </c>
      <c r="O186" s="1011">
        <f t="shared" si="172"/>
        <v>2032</v>
      </c>
      <c r="P186" s="1011">
        <f t="shared" si="172"/>
        <v>2032</v>
      </c>
      <c r="Q186" s="1011">
        <f>O186</f>
        <v>2032</v>
      </c>
      <c r="R186" s="1011">
        <f t="shared" si="172"/>
        <v>2032</v>
      </c>
      <c r="S186" s="1011">
        <f t="shared" si="172"/>
        <v>2032</v>
      </c>
      <c r="T186" s="1011">
        <f t="shared" si="172"/>
        <v>2032</v>
      </c>
      <c r="U186" s="1011">
        <f t="shared" si="172"/>
        <v>2032</v>
      </c>
      <c r="V186" s="1011">
        <f t="shared" si="172"/>
        <v>2032</v>
      </c>
      <c r="W186" s="1011">
        <f t="shared" si="172"/>
        <v>2032</v>
      </c>
      <c r="X186" s="1011">
        <f t="shared" si="172"/>
        <v>2032</v>
      </c>
      <c r="Y186" s="552"/>
      <c r="Z186" s="552"/>
      <c r="AA186" s="151"/>
    </row>
    <row r="187" spans="1:27" s="94" customFormat="1" x14ac:dyDescent="0.25">
      <c r="A187" s="95" t="s">
        <v>472</v>
      </c>
      <c r="B187" s="159"/>
      <c r="C187" s="565">
        <f>C184-B184</f>
        <v>0</v>
      </c>
      <c r="D187" s="159"/>
      <c r="E187" s="565">
        <f>E184-D184</f>
        <v>0</v>
      </c>
      <c r="F187" s="159"/>
      <c r="G187" s="565">
        <f>G184-F184</f>
        <v>0</v>
      </c>
      <c r="H187" s="548"/>
      <c r="I187" s="565">
        <f>I184-H184+J187</f>
        <v>1.0658141036401503E-14</v>
      </c>
      <c r="J187" s="548"/>
      <c r="K187" s="688"/>
      <c r="L187" s="565">
        <f>L184-K184+M187</f>
        <v>0</v>
      </c>
      <c r="M187" s="688"/>
      <c r="N187" s="565">
        <f t="shared" ref="N187:N198" si="173">T187+U187+V187+W187+X187</f>
        <v>7.0610184366159957E-17</v>
      </c>
      <c r="O187" s="565">
        <f>O184+P187</f>
        <v>2</v>
      </c>
      <c r="P187" s="688"/>
      <c r="Q187" s="565">
        <f>O187*$Q$16/100/12*$R$16/100</f>
        <v>1.325E-2</v>
      </c>
      <c r="R187" s="565"/>
      <c r="S187" s="566"/>
      <c r="T187" s="685">
        <f t="shared" ref="T187:T198" si="174">C187*$C$17/100/12</f>
        <v>0</v>
      </c>
      <c r="U187" s="685">
        <f>E187*$E$17/100/12</f>
        <v>0</v>
      </c>
      <c r="V187" s="685">
        <f>G187*$G$17/100/12</f>
        <v>0</v>
      </c>
      <c r="W187" s="684">
        <f>I187*$I$17/100/12</f>
        <v>7.0610184366159957E-17</v>
      </c>
      <c r="X187" s="682">
        <f t="shared" ref="X187:X198" si="175">L187*$L$17/100/12</f>
        <v>0</v>
      </c>
      <c r="Y187" s="552"/>
      <c r="Z187" s="552"/>
      <c r="AA187" s="151"/>
    </row>
    <row r="188" spans="1:27" s="94" customFormat="1" x14ac:dyDescent="0.25">
      <c r="A188" s="95" t="s">
        <v>473</v>
      </c>
      <c r="B188" s="159"/>
      <c r="C188" s="565">
        <f t="shared" ref="C188:C198" si="176">C187-B187</f>
        <v>0</v>
      </c>
      <c r="D188" s="159"/>
      <c r="E188" s="565">
        <f t="shared" ref="E188:E198" si="177">E187-D187</f>
        <v>0</v>
      </c>
      <c r="F188" s="159"/>
      <c r="G188" s="565">
        <f t="shared" ref="G188:G198" si="178">G187-F187</f>
        <v>0</v>
      </c>
      <c r="H188" s="548"/>
      <c r="I188" s="565">
        <f>I187-H187+J188</f>
        <v>1.0658141036401503E-14</v>
      </c>
      <c r="J188" s="548"/>
      <c r="K188" s="688"/>
      <c r="L188" s="565">
        <f>L187-K187+M188</f>
        <v>0</v>
      </c>
      <c r="M188" s="688"/>
      <c r="N188" s="565">
        <f t="shared" si="173"/>
        <v>7.0610184366159957E-17</v>
      </c>
      <c r="O188" s="565">
        <f>O187+P188</f>
        <v>2</v>
      </c>
      <c r="P188" s="688"/>
      <c r="Q188" s="565">
        <f t="shared" ref="Q188:Q198" si="179">O188*$Q$16/100/12*$R$16/100</f>
        <v>1.325E-2</v>
      </c>
      <c r="R188" s="565"/>
      <c r="S188" s="566"/>
      <c r="T188" s="685">
        <f t="shared" si="174"/>
        <v>0</v>
      </c>
      <c r="U188" s="685">
        <f t="shared" ref="U188:U198" si="180">E188*$E$17/100/12</f>
        <v>0</v>
      </c>
      <c r="V188" s="685">
        <f t="shared" ref="V188:V198" si="181">G188*$G$17/100/12</f>
        <v>0</v>
      </c>
      <c r="W188" s="684">
        <f t="shared" ref="W188:W198" si="182">I188*$I$17/100/12</f>
        <v>7.0610184366159957E-17</v>
      </c>
      <c r="X188" s="682">
        <f t="shared" si="175"/>
        <v>0</v>
      </c>
      <c r="Y188" s="552"/>
      <c r="Z188" s="552"/>
      <c r="AA188" s="151"/>
    </row>
    <row r="189" spans="1:27" s="94" customFormat="1" x14ac:dyDescent="0.25">
      <c r="A189" s="95" t="s">
        <v>474</v>
      </c>
      <c r="B189" s="159"/>
      <c r="C189" s="565">
        <f t="shared" si="176"/>
        <v>0</v>
      </c>
      <c r="D189" s="159"/>
      <c r="E189" s="565">
        <f t="shared" si="177"/>
        <v>0</v>
      </c>
      <c r="F189" s="159"/>
      <c r="G189" s="565">
        <f t="shared" si="178"/>
        <v>0</v>
      </c>
      <c r="H189" s="548"/>
      <c r="I189" s="565">
        <f t="shared" ref="I189:I198" si="183">I188-H188+J189</f>
        <v>1.0658141036401503E-14</v>
      </c>
      <c r="J189" s="548"/>
      <c r="K189" s="688"/>
      <c r="L189" s="565">
        <f t="shared" ref="L189:L198" si="184">L188-K188+M189</f>
        <v>0</v>
      </c>
      <c r="M189" s="688"/>
      <c r="N189" s="565">
        <f t="shared" si="173"/>
        <v>7.0610184366159957E-17</v>
      </c>
      <c r="O189" s="565">
        <f t="shared" ref="O189:O198" si="185">O188+P189</f>
        <v>2</v>
      </c>
      <c r="P189" s="688"/>
      <c r="Q189" s="565">
        <f t="shared" si="179"/>
        <v>1.325E-2</v>
      </c>
      <c r="R189" s="565"/>
      <c r="S189" s="566"/>
      <c r="T189" s="685">
        <f t="shared" si="174"/>
        <v>0</v>
      </c>
      <c r="U189" s="685">
        <f t="shared" si="180"/>
        <v>0</v>
      </c>
      <c r="V189" s="685">
        <f t="shared" si="181"/>
        <v>0</v>
      </c>
      <c r="W189" s="684">
        <f t="shared" si="182"/>
        <v>7.0610184366159957E-17</v>
      </c>
      <c r="X189" s="682">
        <f t="shared" si="175"/>
        <v>0</v>
      </c>
      <c r="Y189" s="552"/>
      <c r="Z189" s="552"/>
      <c r="AA189" s="151"/>
    </row>
    <row r="190" spans="1:27" s="94" customFormat="1" x14ac:dyDescent="0.25">
      <c r="A190" s="95" t="s">
        <v>475</v>
      </c>
      <c r="B190" s="159"/>
      <c r="C190" s="565">
        <f t="shared" si="176"/>
        <v>0</v>
      </c>
      <c r="D190" s="159"/>
      <c r="E190" s="565">
        <f t="shared" si="177"/>
        <v>0</v>
      </c>
      <c r="F190" s="159"/>
      <c r="G190" s="565">
        <f t="shared" si="178"/>
        <v>0</v>
      </c>
      <c r="H190" s="548"/>
      <c r="I190" s="565">
        <f t="shared" si="183"/>
        <v>1.0658141036401503E-14</v>
      </c>
      <c r="J190" s="548"/>
      <c r="K190" s="688"/>
      <c r="L190" s="565">
        <f t="shared" si="184"/>
        <v>0</v>
      </c>
      <c r="M190" s="688"/>
      <c r="N190" s="565">
        <f t="shared" si="173"/>
        <v>7.0610184366159957E-17</v>
      </c>
      <c r="O190" s="565">
        <f t="shared" si="185"/>
        <v>2</v>
      </c>
      <c r="P190" s="688"/>
      <c r="Q190" s="565">
        <f t="shared" si="179"/>
        <v>1.325E-2</v>
      </c>
      <c r="R190" s="565"/>
      <c r="S190" s="566"/>
      <c r="T190" s="685">
        <f t="shared" si="174"/>
        <v>0</v>
      </c>
      <c r="U190" s="685">
        <f t="shared" si="180"/>
        <v>0</v>
      </c>
      <c r="V190" s="685">
        <f t="shared" si="181"/>
        <v>0</v>
      </c>
      <c r="W190" s="684">
        <f t="shared" si="182"/>
        <v>7.0610184366159957E-17</v>
      </c>
      <c r="X190" s="682">
        <f t="shared" si="175"/>
        <v>0</v>
      </c>
      <c r="Y190" s="552"/>
      <c r="Z190" s="552"/>
      <c r="AA190" s="151"/>
    </row>
    <row r="191" spans="1:27" s="94" customFormat="1" x14ac:dyDescent="0.25">
      <c r="A191" s="95" t="s">
        <v>476</v>
      </c>
      <c r="B191" s="159"/>
      <c r="C191" s="565">
        <f t="shared" si="176"/>
        <v>0</v>
      </c>
      <c r="D191" s="159"/>
      <c r="E191" s="565">
        <f t="shared" si="177"/>
        <v>0</v>
      </c>
      <c r="F191" s="159"/>
      <c r="G191" s="565">
        <f t="shared" si="178"/>
        <v>0</v>
      </c>
      <c r="H191" s="548"/>
      <c r="I191" s="565">
        <f t="shared" si="183"/>
        <v>1.0658141036401503E-14</v>
      </c>
      <c r="J191" s="548"/>
      <c r="K191" s="688"/>
      <c r="L191" s="565">
        <f t="shared" si="184"/>
        <v>0</v>
      </c>
      <c r="M191" s="688"/>
      <c r="N191" s="565">
        <f t="shared" si="173"/>
        <v>7.0610184366159957E-17</v>
      </c>
      <c r="O191" s="565">
        <f t="shared" si="185"/>
        <v>2</v>
      </c>
      <c r="P191" s="688"/>
      <c r="Q191" s="565">
        <f t="shared" si="179"/>
        <v>1.325E-2</v>
      </c>
      <c r="R191" s="565"/>
      <c r="S191" s="566"/>
      <c r="T191" s="685">
        <f t="shared" si="174"/>
        <v>0</v>
      </c>
      <c r="U191" s="685">
        <f t="shared" si="180"/>
        <v>0</v>
      </c>
      <c r="V191" s="685">
        <f t="shared" si="181"/>
        <v>0</v>
      </c>
      <c r="W191" s="684">
        <f t="shared" si="182"/>
        <v>7.0610184366159957E-17</v>
      </c>
      <c r="X191" s="682">
        <f t="shared" si="175"/>
        <v>0</v>
      </c>
      <c r="Y191" s="552"/>
      <c r="Z191" s="552"/>
      <c r="AA191" s="151"/>
    </row>
    <row r="192" spans="1:27" s="94" customFormat="1" x14ac:dyDescent="0.25">
      <c r="A192" s="95" t="s">
        <v>477</v>
      </c>
      <c r="B192" s="159"/>
      <c r="C192" s="565">
        <f t="shared" si="176"/>
        <v>0</v>
      </c>
      <c r="D192" s="159"/>
      <c r="E192" s="565">
        <f t="shared" si="177"/>
        <v>0</v>
      </c>
      <c r="F192" s="159"/>
      <c r="G192" s="565">
        <f t="shared" si="178"/>
        <v>0</v>
      </c>
      <c r="H192" s="548"/>
      <c r="I192" s="565">
        <f t="shared" si="183"/>
        <v>1.0658141036401503E-14</v>
      </c>
      <c r="J192" s="548"/>
      <c r="K192" s="688"/>
      <c r="L192" s="565">
        <f t="shared" si="184"/>
        <v>0</v>
      </c>
      <c r="M192" s="688"/>
      <c r="N192" s="565">
        <f t="shared" si="173"/>
        <v>7.0610184366159957E-17</v>
      </c>
      <c r="O192" s="565">
        <f t="shared" si="185"/>
        <v>2</v>
      </c>
      <c r="P192" s="688"/>
      <c r="Q192" s="565">
        <f t="shared" si="179"/>
        <v>1.325E-2</v>
      </c>
      <c r="R192" s="565"/>
      <c r="S192" s="566"/>
      <c r="T192" s="685">
        <f t="shared" si="174"/>
        <v>0</v>
      </c>
      <c r="U192" s="685">
        <f t="shared" si="180"/>
        <v>0</v>
      </c>
      <c r="V192" s="685">
        <f t="shared" si="181"/>
        <v>0</v>
      </c>
      <c r="W192" s="684">
        <f t="shared" si="182"/>
        <v>7.0610184366159957E-17</v>
      </c>
      <c r="X192" s="682">
        <f t="shared" si="175"/>
        <v>0</v>
      </c>
      <c r="Y192" s="552"/>
      <c r="Z192" s="552"/>
      <c r="AA192" s="151"/>
    </row>
    <row r="193" spans="1:27" s="94" customFormat="1" x14ac:dyDescent="0.25">
      <c r="A193" s="95" t="s">
        <v>478</v>
      </c>
      <c r="B193" s="159"/>
      <c r="C193" s="565">
        <f t="shared" si="176"/>
        <v>0</v>
      </c>
      <c r="D193" s="159"/>
      <c r="E193" s="565">
        <f t="shared" si="177"/>
        <v>0</v>
      </c>
      <c r="F193" s="159"/>
      <c r="G193" s="565">
        <f t="shared" si="178"/>
        <v>0</v>
      </c>
      <c r="H193" s="548"/>
      <c r="I193" s="565">
        <f t="shared" si="183"/>
        <v>1.0658141036401503E-14</v>
      </c>
      <c r="J193" s="548"/>
      <c r="K193" s="688"/>
      <c r="L193" s="565">
        <f t="shared" si="184"/>
        <v>0</v>
      </c>
      <c r="M193" s="688"/>
      <c r="N193" s="565">
        <f t="shared" si="173"/>
        <v>7.0610184366159957E-17</v>
      </c>
      <c r="O193" s="565">
        <f t="shared" si="185"/>
        <v>2</v>
      </c>
      <c r="P193" s="688"/>
      <c r="Q193" s="565">
        <f t="shared" si="179"/>
        <v>1.325E-2</v>
      </c>
      <c r="R193" s="565"/>
      <c r="S193" s="566"/>
      <c r="T193" s="685">
        <f t="shared" si="174"/>
        <v>0</v>
      </c>
      <c r="U193" s="685">
        <f t="shared" si="180"/>
        <v>0</v>
      </c>
      <c r="V193" s="685">
        <f t="shared" si="181"/>
        <v>0</v>
      </c>
      <c r="W193" s="684">
        <f t="shared" si="182"/>
        <v>7.0610184366159957E-17</v>
      </c>
      <c r="X193" s="682">
        <f t="shared" si="175"/>
        <v>0</v>
      </c>
      <c r="Y193" s="552"/>
      <c r="Z193" s="552"/>
      <c r="AA193" s="151"/>
    </row>
    <row r="194" spans="1:27" s="94" customFormat="1" x14ac:dyDescent="0.25">
      <c r="A194" s="95" t="s">
        <v>479</v>
      </c>
      <c r="B194" s="159"/>
      <c r="C194" s="565">
        <f t="shared" si="176"/>
        <v>0</v>
      </c>
      <c r="D194" s="159"/>
      <c r="E194" s="565">
        <f t="shared" si="177"/>
        <v>0</v>
      </c>
      <c r="F194" s="159"/>
      <c r="G194" s="565">
        <f t="shared" si="178"/>
        <v>0</v>
      </c>
      <c r="H194" s="548"/>
      <c r="I194" s="565">
        <f t="shared" si="183"/>
        <v>1.0658141036401503E-14</v>
      </c>
      <c r="J194" s="548"/>
      <c r="K194" s="688"/>
      <c r="L194" s="565">
        <f t="shared" si="184"/>
        <v>0</v>
      </c>
      <c r="M194" s="688"/>
      <c r="N194" s="565">
        <f t="shared" si="173"/>
        <v>7.0610184366159957E-17</v>
      </c>
      <c r="O194" s="565">
        <f t="shared" si="185"/>
        <v>2</v>
      </c>
      <c r="P194" s="688"/>
      <c r="Q194" s="565">
        <f t="shared" si="179"/>
        <v>1.325E-2</v>
      </c>
      <c r="R194" s="565"/>
      <c r="S194" s="566"/>
      <c r="T194" s="685">
        <f t="shared" si="174"/>
        <v>0</v>
      </c>
      <c r="U194" s="685">
        <f t="shared" si="180"/>
        <v>0</v>
      </c>
      <c r="V194" s="685">
        <f t="shared" si="181"/>
        <v>0</v>
      </c>
      <c r="W194" s="684">
        <f t="shared" si="182"/>
        <v>7.0610184366159957E-17</v>
      </c>
      <c r="X194" s="682">
        <f t="shared" si="175"/>
        <v>0</v>
      </c>
      <c r="Y194" s="552"/>
      <c r="Z194" s="552"/>
      <c r="AA194" s="151"/>
    </row>
    <row r="195" spans="1:27" s="94" customFormat="1" x14ac:dyDescent="0.25">
      <c r="A195" s="95" t="s">
        <v>480</v>
      </c>
      <c r="B195" s="159"/>
      <c r="C195" s="565">
        <f t="shared" si="176"/>
        <v>0</v>
      </c>
      <c r="D195" s="159"/>
      <c r="E195" s="565">
        <f t="shared" si="177"/>
        <v>0</v>
      </c>
      <c r="F195" s="159"/>
      <c r="G195" s="565">
        <f t="shared" si="178"/>
        <v>0</v>
      </c>
      <c r="H195" s="548"/>
      <c r="I195" s="565">
        <f t="shared" si="183"/>
        <v>1.0658141036401503E-14</v>
      </c>
      <c r="J195" s="548"/>
      <c r="K195" s="688"/>
      <c r="L195" s="565">
        <f t="shared" si="184"/>
        <v>0</v>
      </c>
      <c r="M195" s="688"/>
      <c r="N195" s="565">
        <f t="shared" si="173"/>
        <v>7.0610184366159957E-17</v>
      </c>
      <c r="O195" s="565">
        <f t="shared" si="185"/>
        <v>2</v>
      </c>
      <c r="P195" s="688"/>
      <c r="Q195" s="565">
        <f t="shared" si="179"/>
        <v>1.325E-2</v>
      </c>
      <c r="R195" s="565"/>
      <c r="S195" s="566"/>
      <c r="T195" s="685">
        <f t="shared" si="174"/>
        <v>0</v>
      </c>
      <c r="U195" s="685">
        <f t="shared" si="180"/>
        <v>0</v>
      </c>
      <c r="V195" s="685">
        <f t="shared" si="181"/>
        <v>0</v>
      </c>
      <c r="W195" s="684">
        <f t="shared" si="182"/>
        <v>7.0610184366159957E-17</v>
      </c>
      <c r="X195" s="682">
        <f t="shared" si="175"/>
        <v>0</v>
      </c>
      <c r="Y195" s="552"/>
      <c r="Z195" s="552"/>
      <c r="AA195" s="151"/>
    </row>
    <row r="196" spans="1:27" s="94" customFormat="1" x14ac:dyDescent="0.25">
      <c r="A196" s="95" t="s">
        <v>481</v>
      </c>
      <c r="B196" s="159"/>
      <c r="C196" s="565">
        <f t="shared" si="176"/>
        <v>0</v>
      </c>
      <c r="D196" s="159"/>
      <c r="E196" s="565">
        <f t="shared" si="177"/>
        <v>0</v>
      </c>
      <c r="F196" s="159"/>
      <c r="G196" s="565">
        <f t="shared" si="178"/>
        <v>0</v>
      </c>
      <c r="H196" s="548"/>
      <c r="I196" s="565">
        <f t="shared" si="183"/>
        <v>1.0658141036401503E-14</v>
      </c>
      <c r="J196" s="548"/>
      <c r="K196" s="688"/>
      <c r="L196" s="565">
        <f t="shared" si="184"/>
        <v>0</v>
      </c>
      <c r="M196" s="688"/>
      <c r="N196" s="565">
        <f t="shared" si="173"/>
        <v>7.0610184366159957E-17</v>
      </c>
      <c r="O196" s="565">
        <f t="shared" si="185"/>
        <v>2</v>
      </c>
      <c r="P196" s="688"/>
      <c r="Q196" s="565">
        <f t="shared" si="179"/>
        <v>1.325E-2</v>
      </c>
      <c r="R196" s="565"/>
      <c r="S196" s="566"/>
      <c r="T196" s="685">
        <f t="shared" si="174"/>
        <v>0</v>
      </c>
      <c r="U196" s="685">
        <f t="shared" si="180"/>
        <v>0</v>
      </c>
      <c r="V196" s="685">
        <f t="shared" si="181"/>
        <v>0</v>
      </c>
      <c r="W196" s="684">
        <f t="shared" si="182"/>
        <v>7.0610184366159957E-17</v>
      </c>
      <c r="X196" s="682">
        <f t="shared" si="175"/>
        <v>0</v>
      </c>
      <c r="Y196" s="552"/>
      <c r="Z196" s="552"/>
      <c r="AA196" s="151"/>
    </row>
    <row r="197" spans="1:27" s="94" customFormat="1" x14ac:dyDescent="0.25">
      <c r="A197" s="95" t="s">
        <v>482</v>
      </c>
      <c r="B197" s="159"/>
      <c r="C197" s="565">
        <f t="shared" si="176"/>
        <v>0</v>
      </c>
      <c r="D197" s="159"/>
      <c r="E197" s="565">
        <f t="shared" si="177"/>
        <v>0</v>
      </c>
      <c r="F197" s="159"/>
      <c r="G197" s="565">
        <f t="shared" si="178"/>
        <v>0</v>
      </c>
      <c r="H197" s="548"/>
      <c r="I197" s="565">
        <f t="shared" si="183"/>
        <v>1.0658141036401503E-14</v>
      </c>
      <c r="J197" s="548"/>
      <c r="K197" s="688"/>
      <c r="L197" s="565">
        <f t="shared" si="184"/>
        <v>0</v>
      </c>
      <c r="M197" s="688"/>
      <c r="N197" s="565">
        <f t="shared" si="173"/>
        <v>7.0610184366159957E-17</v>
      </c>
      <c r="O197" s="565">
        <f t="shared" si="185"/>
        <v>2</v>
      </c>
      <c r="P197" s="688"/>
      <c r="Q197" s="565">
        <f t="shared" si="179"/>
        <v>1.325E-2</v>
      </c>
      <c r="R197" s="565"/>
      <c r="S197" s="566"/>
      <c r="T197" s="685">
        <f t="shared" si="174"/>
        <v>0</v>
      </c>
      <c r="U197" s="685">
        <f t="shared" si="180"/>
        <v>0</v>
      </c>
      <c r="V197" s="685">
        <f t="shared" si="181"/>
        <v>0</v>
      </c>
      <c r="W197" s="684">
        <f t="shared" si="182"/>
        <v>7.0610184366159957E-17</v>
      </c>
      <c r="X197" s="682">
        <f t="shared" si="175"/>
        <v>0</v>
      </c>
      <c r="Y197" s="552"/>
      <c r="Z197" s="552"/>
      <c r="AA197" s="151"/>
    </row>
    <row r="198" spans="1:27" s="94" customFormat="1" x14ac:dyDescent="0.25">
      <c r="A198" s="95" t="s">
        <v>483</v>
      </c>
      <c r="B198" s="159"/>
      <c r="C198" s="565">
        <f t="shared" si="176"/>
        <v>0</v>
      </c>
      <c r="D198" s="159"/>
      <c r="E198" s="565">
        <f t="shared" si="177"/>
        <v>0</v>
      </c>
      <c r="F198" s="159"/>
      <c r="G198" s="565">
        <f t="shared" si="178"/>
        <v>0</v>
      </c>
      <c r="H198" s="548"/>
      <c r="I198" s="565">
        <f t="shared" si="183"/>
        <v>1.0658141036401503E-14</v>
      </c>
      <c r="J198" s="548"/>
      <c r="K198" s="688"/>
      <c r="L198" s="565">
        <f t="shared" si="184"/>
        <v>0</v>
      </c>
      <c r="M198" s="688"/>
      <c r="N198" s="565">
        <f t="shared" si="173"/>
        <v>7.0610184366159957E-17</v>
      </c>
      <c r="O198" s="565">
        <f t="shared" si="185"/>
        <v>2</v>
      </c>
      <c r="P198" s="688"/>
      <c r="Q198" s="565">
        <f t="shared" si="179"/>
        <v>1.325E-2</v>
      </c>
      <c r="R198" s="565"/>
      <c r="S198" s="566"/>
      <c r="T198" s="685">
        <f t="shared" si="174"/>
        <v>0</v>
      </c>
      <c r="U198" s="685">
        <f t="shared" si="180"/>
        <v>0</v>
      </c>
      <c r="V198" s="685">
        <f t="shared" si="181"/>
        <v>0</v>
      </c>
      <c r="W198" s="684">
        <f t="shared" si="182"/>
        <v>7.0610184366159957E-17</v>
      </c>
      <c r="X198" s="682">
        <f t="shared" si="175"/>
        <v>0</v>
      </c>
      <c r="Y198" s="552"/>
      <c r="Z198" s="552"/>
      <c r="AA198" s="151"/>
    </row>
    <row r="199" spans="1:27" s="94" customFormat="1" x14ac:dyDescent="0.25">
      <c r="A199" s="567" t="s">
        <v>258</v>
      </c>
      <c r="B199" s="566">
        <f>SUM(B187:B198)</f>
        <v>0</v>
      </c>
      <c r="C199" s="565"/>
      <c r="D199" s="566">
        <f>SUM(D187:D198)</f>
        <v>0</v>
      </c>
      <c r="E199" s="565"/>
      <c r="F199" s="566">
        <f>SUM(F187:F198)</f>
        <v>0</v>
      </c>
      <c r="G199" s="565"/>
      <c r="H199" s="566">
        <f>SUM(H187:H198)</f>
        <v>0</v>
      </c>
      <c r="I199" s="565"/>
      <c r="J199" s="566">
        <f>SUM(J187:J198)</f>
        <v>0</v>
      </c>
      <c r="K199" s="566">
        <f>SUM(K187:K198)</f>
        <v>0</v>
      </c>
      <c r="L199" s="565"/>
      <c r="M199" s="566">
        <f>SUM(M187:M198)</f>
        <v>0</v>
      </c>
      <c r="N199" s="566">
        <f>SUM(N187:N198)</f>
        <v>8.4732221239391953E-16</v>
      </c>
      <c r="O199" s="565"/>
      <c r="P199" s="566">
        <f>SUM(P187:P198)</f>
        <v>0</v>
      </c>
      <c r="Q199" s="566">
        <f>SUM(Q187:Q198)</f>
        <v>0.15900000000000003</v>
      </c>
      <c r="R199" s="566"/>
      <c r="S199" s="566">
        <f>N199+Q199</f>
        <v>0.15900000000000089</v>
      </c>
      <c r="T199" s="566">
        <f>SUM(T187:T198)</f>
        <v>0</v>
      </c>
      <c r="U199" s="566">
        <f>SUM(U187:U198)</f>
        <v>0</v>
      </c>
      <c r="V199" s="566">
        <f>SUM(V187:V198)</f>
        <v>0</v>
      </c>
      <c r="W199" s="566">
        <f>SUM(W187:W198)</f>
        <v>8.4732221239391953E-16</v>
      </c>
      <c r="X199" s="566">
        <f>SUM(X187:X198)</f>
        <v>0</v>
      </c>
      <c r="Y199" s="552"/>
      <c r="Z199" s="552"/>
      <c r="AA199" s="151"/>
    </row>
    <row r="200" spans="1:27" s="94" customFormat="1" x14ac:dyDescent="0.25">
      <c r="A200" s="106">
        <f>'Oper.St.'!P11</f>
        <v>2033</v>
      </c>
      <c r="B200" s="1011">
        <f>A200</f>
        <v>2033</v>
      </c>
      <c r="C200" s="1011">
        <f>B200</f>
        <v>2033</v>
      </c>
      <c r="D200" s="1011">
        <f t="shared" ref="D200:X200" si="186">C200</f>
        <v>2033</v>
      </c>
      <c r="E200" s="1011">
        <f t="shared" si="186"/>
        <v>2033</v>
      </c>
      <c r="F200" s="1011">
        <f t="shared" si="186"/>
        <v>2033</v>
      </c>
      <c r="G200" s="1011">
        <f t="shared" si="186"/>
        <v>2033</v>
      </c>
      <c r="H200" s="1011">
        <f t="shared" si="186"/>
        <v>2033</v>
      </c>
      <c r="I200" s="1011">
        <f t="shared" si="186"/>
        <v>2033</v>
      </c>
      <c r="J200" s="1011"/>
      <c r="K200" s="1011">
        <f>I200</f>
        <v>2033</v>
      </c>
      <c r="L200" s="1011">
        <f t="shared" si="186"/>
        <v>2033</v>
      </c>
      <c r="M200" s="1011">
        <f t="shared" si="186"/>
        <v>2033</v>
      </c>
      <c r="N200" s="1011">
        <f t="shared" si="186"/>
        <v>2033</v>
      </c>
      <c r="O200" s="1011">
        <f t="shared" si="186"/>
        <v>2033</v>
      </c>
      <c r="P200" s="1011">
        <f t="shared" si="186"/>
        <v>2033</v>
      </c>
      <c r="Q200" s="1011">
        <f>O200</f>
        <v>2033</v>
      </c>
      <c r="R200" s="1011">
        <f t="shared" si="186"/>
        <v>2033</v>
      </c>
      <c r="S200" s="1011">
        <f t="shared" si="186"/>
        <v>2033</v>
      </c>
      <c r="T200" s="1011">
        <f t="shared" si="186"/>
        <v>2033</v>
      </c>
      <c r="U200" s="1011">
        <f t="shared" si="186"/>
        <v>2033</v>
      </c>
      <c r="V200" s="1011">
        <f t="shared" si="186"/>
        <v>2033</v>
      </c>
      <c r="W200" s="1011">
        <f t="shared" si="186"/>
        <v>2033</v>
      </c>
      <c r="X200" s="1011">
        <f t="shared" si="186"/>
        <v>2033</v>
      </c>
      <c r="Y200" s="552"/>
      <c r="Z200" s="552"/>
      <c r="AA200" s="151"/>
    </row>
    <row r="201" spans="1:27" s="94" customFormat="1" x14ac:dyDescent="0.25">
      <c r="A201" s="95" t="s">
        <v>472</v>
      </c>
      <c r="B201" s="159"/>
      <c r="C201" s="565">
        <f>C198-B198</f>
        <v>0</v>
      </c>
      <c r="D201" s="159"/>
      <c r="E201" s="565">
        <f>E198-D198</f>
        <v>0</v>
      </c>
      <c r="F201" s="159"/>
      <c r="G201" s="565">
        <f>G198-F198</f>
        <v>0</v>
      </c>
      <c r="H201" s="548"/>
      <c r="I201" s="565">
        <f>I198-H198+J201</f>
        <v>1.0658141036401503E-14</v>
      </c>
      <c r="J201" s="548"/>
      <c r="K201" s="688"/>
      <c r="L201" s="565">
        <f>L198-K198+M201</f>
        <v>0</v>
      </c>
      <c r="M201" s="688"/>
      <c r="N201" s="565">
        <f t="shared" ref="N201:N212" si="187">T201+U201+V201+W201+X201</f>
        <v>7.0610184366159957E-17</v>
      </c>
      <c r="O201" s="565">
        <f>O198+P201</f>
        <v>2</v>
      </c>
      <c r="P201" s="688"/>
      <c r="Q201" s="565">
        <f>O201*$Q$16/100/12*$R$16/100</f>
        <v>1.325E-2</v>
      </c>
      <c r="R201" s="565"/>
      <c r="S201" s="566"/>
      <c r="T201" s="685">
        <f t="shared" ref="T201:T212" si="188">C201*$C$17/100/12</f>
        <v>0</v>
      </c>
      <c r="U201" s="685">
        <f>E201*$E$17/100/12</f>
        <v>0</v>
      </c>
      <c r="V201" s="685">
        <f>G201*$G$17/100/12</f>
        <v>0</v>
      </c>
      <c r="W201" s="684">
        <f>I201*$I$17/100/12</f>
        <v>7.0610184366159957E-17</v>
      </c>
      <c r="X201" s="682">
        <f t="shared" ref="X201:X212" si="189">L201*$L$17/100/12</f>
        <v>0</v>
      </c>
      <c r="Y201" s="552"/>
      <c r="Z201" s="552"/>
      <c r="AA201" s="151"/>
    </row>
    <row r="202" spans="1:27" s="94" customFormat="1" x14ac:dyDescent="0.25">
      <c r="A202" s="95" t="s">
        <v>473</v>
      </c>
      <c r="B202" s="159"/>
      <c r="C202" s="565">
        <f t="shared" ref="C202:C212" si="190">C201-B201</f>
        <v>0</v>
      </c>
      <c r="D202" s="159"/>
      <c r="E202" s="565">
        <f t="shared" ref="E202:E212" si="191">E201-D201</f>
        <v>0</v>
      </c>
      <c r="F202" s="159"/>
      <c r="G202" s="565">
        <f t="shared" ref="G202:G212" si="192">G201-F201</f>
        <v>0</v>
      </c>
      <c r="H202" s="548"/>
      <c r="I202" s="565">
        <f>I201-H201+J202</f>
        <v>1.0658141036401503E-14</v>
      </c>
      <c r="J202" s="548"/>
      <c r="K202" s="688"/>
      <c r="L202" s="565">
        <f>L201-K201+M202</f>
        <v>0</v>
      </c>
      <c r="M202" s="688"/>
      <c r="N202" s="565">
        <f t="shared" si="187"/>
        <v>7.0610184366159957E-17</v>
      </c>
      <c r="O202" s="565">
        <f>O201+P202</f>
        <v>2</v>
      </c>
      <c r="P202" s="688"/>
      <c r="Q202" s="565">
        <f t="shared" ref="Q202:Q212" si="193">O202*$Q$16/100/12*$R$16/100</f>
        <v>1.325E-2</v>
      </c>
      <c r="R202" s="565"/>
      <c r="S202" s="566"/>
      <c r="T202" s="685">
        <f t="shared" si="188"/>
        <v>0</v>
      </c>
      <c r="U202" s="685">
        <f t="shared" ref="U202:U212" si="194">E202*$E$17/100/12</f>
        <v>0</v>
      </c>
      <c r="V202" s="685">
        <f t="shared" ref="V202:V212" si="195">G202*$G$17/100/12</f>
        <v>0</v>
      </c>
      <c r="W202" s="684">
        <f t="shared" ref="W202:W212" si="196">I202*$I$17/100/12</f>
        <v>7.0610184366159957E-17</v>
      </c>
      <c r="X202" s="682">
        <f t="shared" si="189"/>
        <v>0</v>
      </c>
      <c r="Y202" s="552"/>
      <c r="Z202" s="552"/>
      <c r="AA202" s="151"/>
    </row>
    <row r="203" spans="1:27" s="94" customFormat="1" x14ac:dyDescent="0.25">
      <c r="A203" s="95" t="s">
        <v>474</v>
      </c>
      <c r="B203" s="159"/>
      <c r="C203" s="565">
        <f t="shared" si="190"/>
        <v>0</v>
      </c>
      <c r="D203" s="159"/>
      <c r="E203" s="565">
        <f t="shared" si="191"/>
        <v>0</v>
      </c>
      <c r="F203" s="159"/>
      <c r="G203" s="565">
        <f t="shared" si="192"/>
        <v>0</v>
      </c>
      <c r="H203" s="548"/>
      <c r="I203" s="565">
        <f t="shared" ref="I203:I212" si="197">I202-H202+J203</f>
        <v>1.0658141036401503E-14</v>
      </c>
      <c r="J203" s="548"/>
      <c r="K203" s="688"/>
      <c r="L203" s="565">
        <f t="shared" ref="L203:L212" si="198">L202-K202+M203</f>
        <v>0</v>
      </c>
      <c r="M203" s="688"/>
      <c r="N203" s="565">
        <f t="shared" si="187"/>
        <v>7.0610184366159957E-17</v>
      </c>
      <c r="O203" s="565">
        <f t="shared" ref="O203:O212" si="199">O202+P203</f>
        <v>2</v>
      </c>
      <c r="P203" s="688"/>
      <c r="Q203" s="565">
        <f t="shared" si="193"/>
        <v>1.325E-2</v>
      </c>
      <c r="R203" s="565"/>
      <c r="S203" s="566"/>
      <c r="T203" s="685">
        <f t="shared" si="188"/>
        <v>0</v>
      </c>
      <c r="U203" s="685">
        <f t="shared" si="194"/>
        <v>0</v>
      </c>
      <c r="V203" s="685">
        <f t="shared" si="195"/>
        <v>0</v>
      </c>
      <c r="W203" s="684">
        <f t="shared" si="196"/>
        <v>7.0610184366159957E-17</v>
      </c>
      <c r="X203" s="682">
        <f t="shared" si="189"/>
        <v>0</v>
      </c>
      <c r="Y203" s="552"/>
      <c r="Z203" s="552"/>
      <c r="AA203" s="151"/>
    </row>
    <row r="204" spans="1:27" s="94" customFormat="1" x14ac:dyDescent="0.25">
      <c r="A204" s="95" t="s">
        <v>475</v>
      </c>
      <c r="B204" s="159"/>
      <c r="C204" s="565">
        <f t="shared" si="190"/>
        <v>0</v>
      </c>
      <c r="D204" s="159"/>
      <c r="E204" s="565">
        <f t="shared" si="191"/>
        <v>0</v>
      </c>
      <c r="F204" s="159"/>
      <c r="G204" s="565">
        <f t="shared" si="192"/>
        <v>0</v>
      </c>
      <c r="H204" s="548"/>
      <c r="I204" s="565">
        <f t="shared" si="197"/>
        <v>1.0658141036401503E-14</v>
      </c>
      <c r="J204" s="548"/>
      <c r="K204" s="688"/>
      <c r="L204" s="565">
        <f t="shared" si="198"/>
        <v>0</v>
      </c>
      <c r="M204" s="688"/>
      <c r="N204" s="565">
        <f t="shared" si="187"/>
        <v>7.0610184366159957E-17</v>
      </c>
      <c r="O204" s="565">
        <f t="shared" si="199"/>
        <v>2</v>
      </c>
      <c r="P204" s="688"/>
      <c r="Q204" s="565">
        <f t="shared" si="193"/>
        <v>1.325E-2</v>
      </c>
      <c r="R204" s="565"/>
      <c r="S204" s="566"/>
      <c r="T204" s="685">
        <f t="shared" si="188"/>
        <v>0</v>
      </c>
      <c r="U204" s="685">
        <f t="shared" si="194"/>
        <v>0</v>
      </c>
      <c r="V204" s="685">
        <f t="shared" si="195"/>
        <v>0</v>
      </c>
      <c r="W204" s="684">
        <f t="shared" si="196"/>
        <v>7.0610184366159957E-17</v>
      </c>
      <c r="X204" s="682">
        <f t="shared" si="189"/>
        <v>0</v>
      </c>
      <c r="Y204" s="552"/>
      <c r="Z204" s="552"/>
      <c r="AA204" s="151"/>
    </row>
    <row r="205" spans="1:27" s="94" customFormat="1" x14ac:dyDescent="0.25">
      <c r="A205" s="95" t="s">
        <v>476</v>
      </c>
      <c r="B205" s="159"/>
      <c r="C205" s="565">
        <f t="shared" si="190"/>
        <v>0</v>
      </c>
      <c r="D205" s="159"/>
      <c r="E205" s="565">
        <f t="shared" si="191"/>
        <v>0</v>
      </c>
      <c r="F205" s="159"/>
      <c r="G205" s="565">
        <f t="shared" si="192"/>
        <v>0</v>
      </c>
      <c r="H205" s="548"/>
      <c r="I205" s="565">
        <f t="shared" si="197"/>
        <v>1.0658141036401503E-14</v>
      </c>
      <c r="J205" s="548"/>
      <c r="K205" s="688"/>
      <c r="L205" s="565">
        <f t="shared" si="198"/>
        <v>0</v>
      </c>
      <c r="M205" s="688"/>
      <c r="N205" s="565">
        <f t="shared" si="187"/>
        <v>7.0610184366159957E-17</v>
      </c>
      <c r="O205" s="565">
        <f t="shared" si="199"/>
        <v>2</v>
      </c>
      <c r="P205" s="688"/>
      <c r="Q205" s="565">
        <f t="shared" si="193"/>
        <v>1.325E-2</v>
      </c>
      <c r="R205" s="565"/>
      <c r="S205" s="566"/>
      <c r="T205" s="685">
        <f t="shared" si="188"/>
        <v>0</v>
      </c>
      <c r="U205" s="685">
        <f t="shared" si="194"/>
        <v>0</v>
      </c>
      <c r="V205" s="685">
        <f t="shared" si="195"/>
        <v>0</v>
      </c>
      <c r="W205" s="684">
        <f t="shared" si="196"/>
        <v>7.0610184366159957E-17</v>
      </c>
      <c r="X205" s="682">
        <f t="shared" si="189"/>
        <v>0</v>
      </c>
      <c r="Y205" s="552"/>
      <c r="Z205" s="552"/>
      <c r="AA205" s="151"/>
    </row>
    <row r="206" spans="1:27" s="94" customFormat="1" x14ac:dyDescent="0.25">
      <c r="A206" s="95" t="s">
        <v>477</v>
      </c>
      <c r="B206" s="159"/>
      <c r="C206" s="565">
        <f t="shared" si="190"/>
        <v>0</v>
      </c>
      <c r="D206" s="159"/>
      <c r="E206" s="565">
        <f t="shared" si="191"/>
        <v>0</v>
      </c>
      <c r="F206" s="159"/>
      <c r="G206" s="565">
        <f t="shared" si="192"/>
        <v>0</v>
      </c>
      <c r="H206" s="548"/>
      <c r="I206" s="565">
        <f t="shared" si="197"/>
        <v>1.0658141036401503E-14</v>
      </c>
      <c r="J206" s="548"/>
      <c r="K206" s="688"/>
      <c r="L206" s="565">
        <f t="shared" si="198"/>
        <v>0</v>
      </c>
      <c r="M206" s="688"/>
      <c r="N206" s="565">
        <f t="shared" si="187"/>
        <v>7.0610184366159957E-17</v>
      </c>
      <c r="O206" s="565">
        <f t="shared" si="199"/>
        <v>2</v>
      </c>
      <c r="P206" s="688"/>
      <c r="Q206" s="565">
        <f t="shared" si="193"/>
        <v>1.325E-2</v>
      </c>
      <c r="R206" s="565"/>
      <c r="S206" s="566"/>
      <c r="T206" s="685">
        <f t="shared" si="188"/>
        <v>0</v>
      </c>
      <c r="U206" s="685">
        <f t="shared" si="194"/>
        <v>0</v>
      </c>
      <c r="V206" s="685">
        <f t="shared" si="195"/>
        <v>0</v>
      </c>
      <c r="W206" s="684">
        <f t="shared" si="196"/>
        <v>7.0610184366159957E-17</v>
      </c>
      <c r="X206" s="682">
        <f t="shared" si="189"/>
        <v>0</v>
      </c>
      <c r="Y206" s="552"/>
      <c r="Z206" s="552"/>
      <c r="AA206" s="151"/>
    </row>
    <row r="207" spans="1:27" s="94" customFormat="1" x14ac:dyDescent="0.25">
      <c r="A207" s="95" t="s">
        <v>478</v>
      </c>
      <c r="B207" s="159"/>
      <c r="C207" s="565">
        <f t="shared" si="190"/>
        <v>0</v>
      </c>
      <c r="D207" s="159"/>
      <c r="E207" s="565">
        <f t="shared" si="191"/>
        <v>0</v>
      </c>
      <c r="F207" s="159"/>
      <c r="G207" s="565">
        <f t="shared" si="192"/>
        <v>0</v>
      </c>
      <c r="H207" s="548"/>
      <c r="I207" s="565">
        <f t="shared" si="197"/>
        <v>1.0658141036401503E-14</v>
      </c>
      <c r="J207" s="548"/>
      <c r="K207" s="688"/>
      <c r="L207" s="565">
        <f t="shared" si="198"/>
        <v>0</v>
      </c>
      <c r="M207" s="688"/>
      <c r="N207" s="565">
        <f t="shared" si="187"/>
        <v>7.0610184366159957E-17</v>
      </c>
      <c r="O207" s="565">
        <f t="shared" si="199"/>
        <v>2</v>
      </c>
      <c r="P207" s="688"/>
      <c r="Q207" s="565">
        <f t="shared" si="193"/>
        <v>1.325E-2</v>
      </c>
      <c r="R207" s="565"/>
      <c r="S207" s="566"/>
      <c r="T207" s="685">
        <f t="shared" si="188"/>
        <v>0</v>
      </c>
      <c r="U207" s="685">
        <f t="shared" si="194"/>
        <v>0</v>
      </c>
      <c r="V207" s="685">
        <f t="shared" si="195"/>
        <v>0</v>
      </c>
      <c r="W207" s="684">
        <f t="shared" si="196"/>
        <v>7.0610184366159957E-17</v>
      </c>
      <c r="X207" s="682">
        <f t="shared" si="189"/>
        <v>0</v>
      </c>
      <c r="Y207" s="552"/>
      <c r="Z207" s="552"/>
      <c r="AA207" s="151"/>
    </row>
    <row r="208" spans="1:27" s="94" customFormat="1" x14ac:dyDescent="0.25">
      <c r="A208" s="95" t="s">
        <v>479</v>
      </c>
      <c r="B208" s="159"/>
      <c r="C208" s="565">
        <f t="shared" si="190"/>
        <v>0</v>
      </c>
      <c r="D208" s="159"/>
      <c r="E208" s="565">
        <f t="shared" si="191"/>
        <v>0</v>
      </c>
      <c r="F208" s="159"/>
      <c r="G208" s="565">
        <f t="shared" si="192"/>
        <v>0</v>
      </c>
      <c r="H208" s="548"/>
      <c r="I208" s="565">
        <f t="shared" si="197"/>
        <v>1.0658141036401503E-14</v>
      </c>
      <c r="J208" s="548"/>
      <c r="K208" s="688"/>
      <c r="L208" s="565">
        <f t="shared" si="198"/>
        <v>0</v>
      </c>
      <c r="M208" s="688"/>
      <c r="N208" s="565">
        <f t="shared" si="187"/>
        <v>7.0610184366159957E-17</v>
      </c>
      <c r="O208" s="565">
        <f t="shared" si="199"/>
        <v>2</v>
      </c>
      <c r="P208" s="688"/>
      <c r="Q208" s="565">
        <f t="shared" si="193"/>
        <v>1.325E-2</v>
      </c>
      <c r="R208" s="565"/>
      <c r="S208" s="566"/>
      <c r="T208" s="685">
        <f t="shared" si="188"/>
        <v>0</v>
      </c>
      <c r="U208" s="685">
        <f t="shared" si="194"/>
        <v>0</v>
      </c>
      <c r="V208" s="685">
        <f t="shared" si="195"/>
        <v>0</v>
      </c>
      <c r="W208" s="684">
        <f t="shared" si="196"/>
        <v>7.0610184366159957E-17</v>
      </c>
      <c r="X208" s="682">
        <f t="shared" si="189"/>
        <v>0</v>
      </c>
      <c r="Y208" s="552"/>
      <c r="Z208" s="552"/>
      <c r="AA208" s="151"/>
    </row>
    <row r="209" spans="1:27" s="94" customFormat="1" x14ac:dyDescent="0.25">
      <c r="A209" s="95" t="s">
        <v>480</v>
      </c>
      <c r="B209" s="159"/>
      <c r="C209" s="565">
        <f t="shared" si="190"/>
        <v>0</v>
      </c>
      <c r="D209" s="159"/>
      <c r="E209" s="565">
        <f t="shared" si="191"/>
        <v>0</v>
      </c>
      <c r="F209" s="159"/>
      <c r="G209" s="565">
        <f t="shared" si="192"/>
        <v>0</v>
      </c>
      <c r="H209" s="548"/>
      <c r="I209" s="565">
        <f t="shared" si="197"/>
        <v>1.0658141036401503E-14</v>
      </c>
      <c r="J209" s="548"/>
      <c r="K209" s="688"/>
      <c r="L209" s="565">
        <f t="shared" si="198"/>
        <v>0</v>
      </c>
      <c r="M209" s="688"/>
      <c r="N209" s="565">
        <f t="shared" si="187"/>
        <v>7.0610184366159957E-17</v>
      </c>
      <c r="O209" s="565">
        <f t="shared" si="199"/>
        <v>2</v>
      </c>
      <c r="P209" s="688"/>
      <c r="Q209" s="565">
        <f t="shared" si="193"/>
        <v>1.325E-2</v>
      </c>
      <c r="R209" s="565"/>
      <c r="S209" s="566"/>
      <c r="T209" s="685">
        <f t="shared" si="188"/>
        <v>0</v>
      </c>
      <c r="U209" s="685">
        <f t="shared" si="194"/>
        <v>0</v>
      </c>
      <c r="V209" s="685">
        <f t="shared" si="195"/>
        <v>0</v>
      </c>
      <c r="W209" s="684">
        <f t="shared" si="196"/>
        <v>7.0610184366159957E-17</v>
      </c>
      <c r="X209" s="682">
        <f t="shared" si="189"/>
        <v>0</v>
      </c>
      <c r="Y209" s="552"/>
      <c r="Z209" s="552"/>
      <c r="AA209" s="151"/>
    </row>
    <row r="210" spans="1:27" s="94" customFormat="1" x14ac:dyDescent="0.25">
      <c r="A210" s="95" t="s">
        <v>481</v>
      </c>
      <c r="B210" s="159"/>
      <c r="C210" s="565">
        <f t="shared" si="190"/>
        <v>0</v>
      </c>
      <c r="D210" s="159"/>
      <c r="E210" s="565">
        <f t="shared" si="191"/>
        <v>0</v>
      </c>
      <c r="F210" s="159"/>
      <c r="G210" s="565">
        <f t="shared" si="192"/>
        <v>0</v>
      </c>
      <c r="H210" s="548"/>
      <c r="I210" s="565">
        <f t="shared" si="197"/>
        <v>1.0658141036401503E-14</v>
      </c>
      <c r="J210" s="548"/>
      <c r="K210" s="688"/>
      <c r="L210" s="565">
        <f t="shared" si="198"/>
        <v>0</v>
      </c>
      <c r="M210" s="688"/>
      <c r="N210" s="565">
        <f t="shared" si="187"/>
        <v>7.0610184366159957E-17</v>
      </c>
      <c r="O210" s="565">
        <f t="shared" si="199"/>
        <v>2</v>
      </c>
      <c r="P210" s="688"/>
      <c r="Q210" s="565">
        <f t="shared" si="193"/>
        <v>1.325E-2</v>
      </c>
      <c r="R210" s="565"/>
      <c r="S210" s="566"/>
      <c r="T210" s="685">
        <f t="shared" si="188"/>
        <v>0</v>
      </c>
      <c r="U210" s="685">
        <f t="shared" si="194"/>
        <v>0</v>
      </c>
      <c r="V210" s="685">
        <f t="shared" si="195"/>
        <v>0</v>
      </c>
      <c r="W210" s="684">
        <f t="shared" si="196"/>
        <v>7.0610184366159957E-17</v>
      </c>
      <c r="X210" s="682">
        <f t="shared" si="189"/>
        <v>0</v>
      </c>
      <c r="Y210" s="552"/>
      <c r="Z210" s="552"/>
      <c r="AA210" s="151"/>
    </row>
    <row r="211" spans="1:27" s="94" customFormat="1" x14ac:dyDescent="0.25">
      <c r="A211" s="95" t="s">
        <v>482</v>
      </c>
      <c r="B211" s="159"/>
      <c r="C211" s="565">
        <f t="shared" si="190"/>
        <v>0</v>
      </c>
      <c r="D211" s="159"/>
      <c r="E211" s="565">
        <f t="shared" si="191"/>
        <v>0</v>
      </c>
      <c r="F211" s="159"/>
      <c r="G211" s="565">
        <f t="shared" si="192"/>
        <v>0</v>
      </c>
      <c r="H211" s="548"/>
      <c r="I211" s="565">
        <f t="shared" si="197"/>
        <v>1.0658141036401503E-14</v>
      </c>
      <c r="J211" s="548"/>
      <c r="K211" s="688"/>
      <c r="L211" s="565">
        <f t="shared" si="198"/>
        <v>0</v>
      </c>
      <c r="M211" s="688"/>
      <c r="N211" s="565">
        <f t="shared" si="187"/>
        <v>7.0610184366159957E-17</v>
      </c>
      <c r="O211" s="565">
        <f t="shared" si="199"/>
        <v>2</v>
      </c>
      <c r="P211" s="688"/>
      <c r="Q211" s="565">
        <f t="shared" si="193"/>
        <v>1.325E-2</v>
      </c>
      <c r="R211" s="565"/>
      <c r="S211" s="566"/>
      <c r="T211" s="685">
        <f t="shared" si="188"/>
        <v>0</v>
      </c>
      <c r="U211" s="685">
        <f t="shared" si="194"/>
        <v>0</v>
      </c>
      <c r="V211" s="685">
        <f t="shared" si="195"/>
        <v>0</v>
      </c>
      <c r="W211" s="684">
        <f t="shared" si="196"/>
        <v>7.0610184366159957E-17</v>
      </c>
      <c r="X211" s="682">
        <f t="shared" si="189"/>
        <v>0</v>
      </c>
      <c r="Y211" s="552"/>
      <c r="Z211" s="552"/>
      <c r="AA211" s="151"/>
    </row>
    <row r="212" spans="1:27" s="220" customFormat="1" x14ac:dyDescent="0.25">
      <c r="A212" s="105" t="s">
        <v>483</v>
      </c>
      <c r="B212" s="159"/>
      <c r="C212" s="569">
        <f t="shared" si="190"/>
        <v>0</v>
      </c>
      <c r="D212" s="159"/>
      <c r="E212" s="569">
        <f t="shared" si="191"/>
        <v>0</v>
      </c>
      <c r="F212" s="159"/>
      <c r="G212" s="569">
        <f t="shared" si="192"/>
        <v>0</v>
      </c>
      <c r="H212" s="548"/>
      <c r="I212" s="569">
        <f t="shared" si="197"/>
        <v>1.0658141036401503E-14</v>
      </c>
      <c r="J212" s="548"/>
      <c r="K212" s="688"/>
      <c r="L212" s="569">
        <f t="shared" si="198"/>
        <v>0</v>
      </c>
      <c r="M212" s="690"/>
      <c r="N212" s="569">
        <f t="shared" si="187"/>
        <v>7.0610184366159957E-17</v>
      </c>
      <c r="O212" s="569">
        <f t="shared" si="199"/>
        <v>2</v>
      </c>
      <c r="P212" s="690"/>
      <c r="Q212" s="569">
        <f t="shared" si="193"/>
        <v>1.325E-2</v>
      </c>
      <c r="R212" s="569"/>
      <c r="S212" s="569"/>
      <c r="T212" s="686">
        <f t="shared" si="188"/>
        <v>0</v>
      </c>
      <c r="U212" s="686">
        <f t="shared" si="194"/>
        <v>0</v>
      </c>
      <c r="V212" s="686">
        <f t="shared" si="195"/>
        <v>0</v>
      </c>
      <c r="W212" s="687">
        <f t="shared" si="196"/>
        <v>7.0610184366159957E-17</v>
      </c>
      <c r="X212" s="683">
        <f t="shared" si="189"/>
        <v>0</v>
      </c>
      <c r="Y212" s="571"/>
      <c r="Z212" s="571"/>
      <c r="AA212" s="219"/>
    </row>
    <row r="213" spans="1:27" s="94" customFormat="1" x14ac:dyDescent="0.25">
      <c r="A213" s="567" t="s">
        <v>258</v>
      </c>
      <c r="B213" s="566">
        <f>SUM(B201:B212)</f>
        <v>0</v>
      </c>
      <c r="C213" s="565"/>
      <c r="D213" s="566">
        <f>SUM(D201:D212)</f>
        <v>0</v>
      </c>
      <c r="E213" s="565"/>
      <c r="F213" s="566">
        <f>SUM(F201:F212)</f>
        <v>0</v>
      </c>
      <c r="G213" s="565"/>
      <c r="H213" s="566">
        <f>SUM(H201:H212)</f>
        <v>0</v>
      </c>
      <c r="I213" s="565"/>
      <c r="J213" s="566">
        <f>SUM(J201:J212)</f>
        <v>0</v>
      </c>
      <c r="K213" s="566">
        <f>SUM(K201:K212)</f>
        <v>0</v>
      </c>
      <c r="L213" s="565"/>
      <c r="M213" s="566">
        <f>SUM(M201:M212)</f>
        <v>0</v>
      </c>
      <c r="N213" s="566">
        <f>SUM(N201:N212)</f>
        <v>8.4732221239391953E-16</v>
      </c>
      <c r="O213" s="565"/>
      <c r="P213" s="566">
        <f>SUM(P201:P212)</f>
        <v>0</v>
      </c>
      <c r="Q213" s="566">
        <f>SUM(Q201:Q212)</f>
        <v>0.15900000000000003</v>
      </c>
      <c r="R213" s="566"/>
      <c r="S213" s="566">
        <f>N213+Q213</f>
        <v>0.15900000000000089</v>
      </c>
      <c r="T213" s="566">
        <f>SUM(T201:T212)</f>
        <v>0</v>
      </c>
      <c r="U213" s="566">
        <f>SUM(U201:U212)</f>
        <v>0</v>
      </c>
      <c r="V213" s="566">
        <f>SUM(V201:V212)</f>
        <v>0</v>
      </c>
      <c r="W213" s="566">
        <f>SUM(W201:W212)</f>
        <v>8.4732221239391953E-16</v>
      </c>
      <c r="X213" s="566">
        <f>SUM(X201:X212)</f>
        <v>0</v>
      </c>
      <c r="Y213" s="552"/>
      <c r="Z213" s="552"/>
      <c r="AA213" s="151"/>
    </row>
    <row r="214" spans="1:27" s="94" customFormat="1" x14ac:dyDescent="0.25">
      <c r="A214" s="106">
        <f>'Oper.St.'!Q11</f>
        <v>2034</v>
      </c>
      <c r="B214" s="1011">
        <f t="shared" ref="B214:I214" si="200">A214</f>
        <v>2034</v>
      </c>
      <c r="C214" s="1011">
        <f t="shared" si="200"/>
        <v>2034</v>
      </c>
      <c r="D214" s="1011">
        <f t="shared" si="200"/>
        <v>2034</v>
      </c>
      <c r="E214" s="1011">
        <f t="shared" si="200"/>
        <v>2034</v>
      </c>
      <c r="F214" s="1011">
        <f t="shared" si="200"/>
        <v>2034</v>
      </c>
      <c r="G214" s="1011">
        <f t="shared" si="200"/>
        <v>2034</v>
      </c>
      <c r="H214" s="1011">
        <f t="shared" si="200"/>
        <v>2034</v>
      </c>
      <c r="I214" s="1011">
        <f t="shared" si="200"/>
        <v>2034</v>
      </c>
      <c r="J214" s="1011"/>
      <c r="K214" s="1011">
        <f>I214</f>
        <v>2034</v>
      </c>
      <c r="L214" s="1011">
        <f>K214</f>
        <v>2034</v>
      </c>
      <c r="M214" s="1011">
        <f>L214</f>
        <v>2034</v>
      </c>
      <c r="N214" s="1011">
        <f>M214</f>
        <v>2034</v>
      </c>
      <c r="O214" s="1011">
        <f>N214</f>
        <v>2034</v>
      </c>
      <c r="P214" s="1011">
        <f>O214</f>
        <v>2034</v>
      </c>
      <c r="Q214" s="1011">
        <f>O214</f>
        <v>2034</v>
      </c>
      <c r="R214" s="1011">
        <f t="shared" ref="R214:X214" si="201">Q214</f>
        <v>2034</v>
      </c>
      <c r="S214" s="1011">
        <f t="shared" si="201"/>
        <v>2034</v>
      </c>
      <c r="T214" s="1011">
        <f t="shared" si="201"/>
        <v>2034</v>
      </c>
      <c r="U214" s="1011">
        <f t="shared" si="201"/>
        <v>2034</v>
      </c>
      <c r="V214" s="1011">
        <f t="shared" si="201"/>
        <v>2034</v>
      </c>
      <c r="W214" s="1011">
        <f t="shared" si="201"/>
        <v>2034</v>
      </c>
      <c r="X214" s="1011">
        <f t="shared" si="201"/>
        <v>2034</v>
      </c>
      <c r="Y214" s="552"/>
      <c r="Z214" s="552"/>
      <c r="AA214" s="151"/>
    </row>
    <row r="215" spans="1:27" s="94" customFormat="1" x14ac:dyDescent="0.25">
      <c r="A215" s="95" t="s">
        <v>472</v>
      </c>
      <c r="B215" s="159"/>
      <c r="C215" s="569">
        <f>C212-B212</f>
        <v>0</v>
      </c>
      <c r="D215" s="159"/>
      <c r="E215" s="565">
        <f>E212-D212</f>
        <v>0</v>
      </c>
      <c r="F215" s="159"/>
      <c r="G215" s="565">
        <f>G212-F212</f>
        <v>0</v>
      </c>
      <c r="H215" s="548"/>
      <c r="I215" s="565">
        <f>I212-H212+J215</f>
        <v>1.0658141036401503E-14</v>
      </c>
      <c r="J215" s="548"/>
      <c r="K215" s="688"/>
      <c r="L215" s="565">
        <f>L212-K212+M215</f>
        <v>0</v>
      </c>
      <c r="M215" s="688"/>
      <c r="N215" s="565">
        <f t="shared" ref="N215:N226" si="202">T215+U215+V215+W215+X215</f>
        <v>7.0610184366159957E-17</v>
      </c>
      <c r="O215" s="565">
        <f>O211+P215</f>
        <v>2</v>
      </c>
      <c r="P215" s="688"/>
      <c r="Q215" s="565">
        <f>O215*$Q$16/100/12*$R$16/100</f>
        <v>1.325E-2</v>
      </c>
      <c r="R215" s="565"/>
      <c r="S215" s="566"/>
      <c r="T215" s="685">
        <f t="shared" ref="T215:T226" si="203">C215*$C$17/100/12</f>
        <v>0</v>
      </c>
      <c r="U215" s="685">
        <f>E215*$E$17/100/12</f>
        <v>0</v>
      </c>
      <c r="V215" s="685">
        <f>G215*$G$17/100/12</f>
        <v>0</v>
      </c>
      <c r="W215" s="684">
        <f>I215*$I$17/100/12</f>
        <v>7.0610184366159957E-17</v>
      </c>
      <c r="X215" s="682">
        <f t="shared" ref="X215:X226" si="204">L215*$L$17/100/12</f>
        <v>0</v>
      </c>
      <c r="Y215" s="552"/>
      <c r="Z215" s="552"/>
      <c r="AA215" s="151"/>
    </row>
    <row r="216" spans="1:27" s="94" customFormat="1" x14ac:dyDescent="0.25">
      <c r="A216" s="95" t="s">
        <v>473</v>
      </c>
      <c r="B216" s="159"/>
      <c r="C216" s="565">
        <f t="shared" ref="C216:C226" si="205">C215-B215</f>
        <v>0</v>
      </c>
      <c r="D216" s="159"/>
      <c r="E216" s="565">
        <f t="shared" ref="E216:E226" si="206">E215-D215</f>
        <v>0</v>
      </c>
      <c r="F216" s="159"/>
      <c r="G216" s="565">
        <f t="shared" ref="G216:G226" si="207">G215-F215</f>
        <v>0</v>
      </c>
      <c r="H216" s="548"/>
      <c r="I216" s="565">
        <f>I215-H215+J216</f>
        <v>1.0658141036401503E-14</v>
      </c>
      <c r="J216" s="548"/>
      <c r="K216" s="688"/>
      <c r="L216" s="565">
        <f>L215-K215+M216</f>
        <v>0</v>
      </c>
      <c r="M216" s="688"/>
      <c r="N216" s="565">
        <f t="shared" si="202"/>
        <v>7.0610184366159957E-17</v>
      </c>
      <c r="O216" s="565">
        <f>O215+P216</f>
        <v>2</v>
      </c>
      <c r="P216" s="688"/>
      <c r="Q216" s="565">
        <f t="shared" ref="Q216:Q226" si="208">O216*$Q$16/100/12*$R$16/100</f>
        <v>1.325E-2</v>
      </c>
      <c r="R216" s="565"/>
      <c r="S216" s="566"/>
      <c r="T216" s="685">
        <f t="shared" si="203"/>
        <v>0</v>
      </c>
      <c r="U216" s="685">
        <f t="shared" ref="U216:U226" si="209">E216*$E$17/100/12</f>
        <v>0</v>
      </c>
      <c r="V216" s="685">
        <f t="shared" ref="V216:V226" si="210">G216*$G$17/100/12</f>
        <v>0</v>
      </c>
      <c r="W216" s="684">
        <f t="shared" ref="W216:W226" si="211">I216*$I$17/100/12</f>
        <v>7.0610184366159957E-17</v>
      </c>
      <c r="X216" s="682">
        <f t="shared" si="204"/>
        <v>0</v>
      </c>
      <c r="Y216" s="552"/>
      <c r="Z216" s="552"/>
      <c r="AA216" s="151"/>
    </row>
    <row r="217" spans="1:27" s="94" customFormat="1" x14ac:dyDescent="0.25">
      <c r="A217" s="95" t="s">
        <v>474</v>
      </c>
      <c r="B217" s="159"/>
      <c r="C217" s="565">
        <f t="shared" si="205"/>
        <v>0</v>
      </c>
      <c r="D217" s="159"/>
      <c r="E217" s="565">
        <f t="shared" si="206"/>
        <v>0</v>
      </c>
      <c r="F217" s="159"/>
      <c r="G217" s="565">
        <f t="shared" si="207"/>
        <v>0</v>
      </c>
      <c r="H217" s="548"/>
      <c r="I217" s="565">
        <f t="shared" ref="I217:I226" si="212">I216-H216+J217</f>
        <v>1.0658141036401503E-14</v>
      </c>
      <c r="J217" s="548"/>
      <c r="K217" s="688"/>
      <c r="L217" s="565">
        <f t="shared" ref="L217:L226" si="213">L216-K216+M217</f>
        <v>0</v>
      </c>
      <c r="M217" s="688"/>
      <c r="N217" s="565">
        <f t="shared" si="202"/>
        <v>7.0610184366159957E-17</v>
      </c>
      <c r="O217" s="565">
        <f t="shared" ref="O217:O226" si="214">O216+P217</f>
        <v>2</v>
      </c>
      <c r="P217" s="688"/>
      <c r="Q217" s="565">
        <f t="shared" si="208"/>
        <v>1.325E-2</v>
      </c>
      <c r="R217" s="565"/>
      <c r="S217" s="566"/>
      <c r="T217" s="685">
        <f t="shared" si="203"/>
        <v>0</v>
      </c>
      <c r="U217" s="685">
        <f t="shared" si="209"/>
        <v>0</v>
      </c>
      <c r="V217" s="685">
        <f t="shared" si="210"/>
        <v>0</v>
      </c>
      <c r="W217" s="684">
        <f t="shared" si="211"/>
        <v>7.0610184366159957E-17</v>
      </c>
      <c r="X217" s="682">
        <f t="shared" si="204"/>
        <v>0</v>
      </c>
      <c r="Y217" s="552"/>
      <c r="Z217" s="552"/>
      <c r="AA217" s="151"/>
    </row>
    <row r="218" spans="1:27" s="94" customFormat="1" x14ac:dyDescent="0.25">
      <c r="A218" s="95" t="s">
        <v>475</v>
      </c>
      <c r="B218" s="159"/>
      <c r="C218" s="565">
        <f t="shared" si="205"/>
        <v>0</v>
      </c>
      <c r="D218" s="159"/>
      <c r="E218" s="565">
        <f t="shared" si="206"/>
        <v>0</v>
      </c>
      <c r="F218" s="159"/>
      <c r="G218" s="565">
        <f t="shared" si="207"/>
        <v>0</v>
      </c>
      <c r="H218" s="548"/>
      <c r="I218" s="565">
        <f t="shared" si="212"/>
        <v>1.0658141036401503E-14</v>
      </c>
      <c r="J218" s="548"/>
      <c r="K218" s="688"/>
      <c r="L218" s="565">
        <f t="shared" si="213"/>
        <v>0</v>
      </c>
      <c r="M218" s="688"/>
      <c r="N218" s="565">
        <f t="shared" si="202"/>
        <v>7.0610184366159957E-17</v>
      </c>
      <c r="O218" s="565">
        <f t="shared" si="214"/>
        <v>2</v>
      </c>
      <c r="P218" s="688"/>
      <c r="Q218" s="565">
        <f t="shared" si="208"/>
        <v>1.325E-2</v>
      </c>
      <c r="R218" s="565"/>
      <c r="S218" s="566"/>
      <c r="T218" s="685">
        <f t="shared" si="203"/>
        <v>0</v>
      </c>
      <c r="U218" s="685">
        <f t="shared" si="209"/>
        <v>0</v>
      </c>
      <c r="V218" s="685">
        <f t="shared" si="210"/>
        <v>0</v>
      </c>
      <c r="W218" s="684">
        <f t="shared" si="211"/>
        <v>7.0610184366159957E-17</v>
      </c>
      <c r="X218" s="682">
        <f t="shared" si="204"/>
        <v>0</v>
      </c>
      <c r="Y218" s="552"/>
      <c r="Z218" s="552"/>
      <c r="AA218" s="151"/>
    </row>
    <row r="219" spans="1:27" s="94" customFormat="1" x14ac:dyDescent="0.25">
      <c r="A219" s="95" t="s">
        <v>476</v>
      </c>
      <c r="B219" s="159"/>
      <c r="C219" s="565">
        <f t="shared" si="205"/>
        <v>0</v>
      </c>
      <c r="D219" s="159"/>
      <c r="E219" s="565">
        <f t="shared" si="206"/>
        <v>0</v>
      </c>
      <c r="F219" s="159"/>
      <c r="G219" s="565">
        <f t="shared" si="207"/>
        <v>0</v>
      </c>
      <c r="H219" s="548"/>
      <c r="I219" s="565">
        <f t="shared" si="212"/>
        <v>1.0658141036401503E-14</v>
      </c>
      <c r="J219" s="548"/>
      <c r="K219" s="688"/>
      <c r="L219" s="565">
        <f t="shared" si="213"/>
        <v>0</v>
      </c>
      <c r="M219" s="688"/>
      <c r="N219" s="565">
        <f t="shared" si="202"/>
        <v>7.0610184366159957E-17</v>
      </c>
      <c r="O219" s="565">
        <f t="shared" si="214"/>
        <v>2</v>
      </c>
      <c r="P219" s="688"/>
      <c r="Q219" s="565">
        <f t="shared" si="208"/>
        <v>1.325E-2</v>
      </c>
      <c r="R219" s="565"/>
      <c r="S219" s="566"/>
      <c r="T219" s="685">
        <f t="shared" si="203"/>
        <v>0</v>
      </c>
      <c r="U219" s="685">
        <f t="shared" si="209"/>
        <v>0</v>
      </c>
      <c r="V219" s="685">
        <f t="shared" si="210"/>
        <v>0</v>
      </c>
      <c r="W219" s="684">
        <f t="shared" si="211"/>
        <v>7.0610184366159957E-17</v>
      </c>
      <c r="X219" s="682">
        <f t="shared" si="204"/>
        <v>0</v>
      </c>
      <c r="Y219" s="552"/>
      <c r="Z219" s="552"/>
      <c r="AA219" s="151"/>
    </row>
    <row r="220" spans="1:27" s="94" customFormat="1" x14ac:dyDescent="0.25">
      <c r="A220" s="95" t="s">
        <v>477</v>
      </c>
      <c r="B220" s="159"/>
      <c r="C220" s="565">
        <f t="shared" si="205"/>
        <v>0</v>
      </c>
      <c r="D220" s="159"/>
      <c r="E220" s="565">
        <f t="shared" si="206"/>
        <v>0</v>
      </c>
      <c r="F220" s="159"/>
      <c r="G220" s="565">
        <f t="shared" si="207"/>
        <v>0</v>
      </c>
      <c r="H220" s="548"/>
      <c r="I220" s="565">
        <f t="shared" si="212"/>
        <v>1.0658141036401503E-14</v>
      </c>
      <c r="J220" s="548"/>
      <c r="K220" s="688"/>
      <c r="L220" s="565">
        <f t="shared" si="213"/>
        <v>0</v>
      </c>
      <c r="M220" s="688"/>
      <c r="N220" s="565">
        <f t="shared" si="202"/>
        <v>7.0610184366159957E-17</v>
      </c>
      <c r="O220" s="565">
        <f t="shared" si="214"/>
        <v>2</v>
      </c>
      <c r="P220" s="688"/>
      <c r="Q220" s="565">
        <f t="shared" si="208"/>
        <v>1.325E-2</v>
      </c>
      <c r="R220" s="565"/>
      <c r="S220" s="566"/>
      <c r="T220" s="685">
        <f t="shared" si="203"/>
        <v>0</v>
      </c>
      <c r="U220" s="685">
        <f t="shared" si="209"/>
        <v>0</v>
      </c>
      <c r="V220" s="685">
        <f t="shared" si="210"/>
        <v>0</v>
      </c>
      <c r="W220" s="684">
        <f t="shared" si="211"/>
        <v>7.0610184366159957E-17</v>
      </c>
      <c r="X220" s="682">
        <f t="shared" si="204"/>
        <v>0</v>
      </c>
      <c r="Y220" s="552"/>
      <c r="Z220" s="552"/>
      <c r="AA220" s="151"/>
    </row>
    <row r="221" spans="1:27" s="94" customFormat="1" x14ac:dyDescent="0.25">
      <c r="A221" s="95" t="s">
        <v>478</v>
      </c>
      <c r="B221" s="159"/>
      <c r="C221" s="565">
        <f t="shared" si="205"/>
        <v>0</v>
      </c>
      <c r="D221" s="159"/>
      <c r="E221" s="565">
        <f t="shared" si="206"/>
        <v>0</v>
      </c>
      <c r="F221" s="159"/>
      <c r="G221" s="565">
        <f t="shared" si="207"/>
        <v>0</v>
      </c>
      <c r="H221" s="548"/>
      <c r="I221" s="565">
        <f t="shared" si="212"/>
        <v>1.0658141036401503E-14</v>
      </c>
      <c r="J221" s="548"/>
      <c r="K221" s="688"/>
      <c r="L221" s="565">
        <f t="shared" si="213"/>
        <v>0</v>
      </c>
      <c r="M221" s="688"/>
      <c r="N221" s="565">
        <f t="shared" si="202"/>
        <v>7.0610184366159957E-17</v>
      </c>
      <c r="O221" s="565">
        <f t="shared" si="214"/>
        <v>2</v>
      </c>
      <c r="P221" s="688"/>
      <c r="Q221" s="565">
        <f t="shared" si="208"/>
        <v>1.325E-2</v>
      </c>
      <c r="R221" s="565"/>
      <c r="S221" s="566"/>
      <c r="T221" s="685">
        <f t="shared" si="203"/>
        <v>0</v>
      </c>
      <c r="U221" s="685">
        <f t="shared" si="209"/>
        <v>0</v>
      </c>
      <c r="V221" s="685">
        <f t="shared" si="210"/>
        <v>0</v>
      </c>
      <c r="W221" s="684">
        <f t="shared" si="211"/>
        <v>7.0610184366159957E-17</v>
      </c>
      <c r="X221" s="682">
        <f t="shared" si="204"/>
        <v>0</v>
      </c>
      <c r="Y221" s="552"/>
      <c r="Z221" s="552"/>
      <c r="AA221" s="151"/>
    </row>
    <row r="222" spans="1:27" s="94" customFormat="1" x14ac:dyDescent="0.25">
      <c r="A222" s="95" t="s">
        <v>479</v>
      </c>
      <c r="B222" s="159"/>
      <c r="C222" s="565">
        <f t="shared" si="205"/>
        <v>0</v>
      </c>
      <c r="D222" s="159"/>
      <c r="E222" s="565">
        <f t="shared" si="206"/>
        <v>0</v>
      </c>
      <c r="F222" s="159"/>
      <c r="G222" s="565">
        <f t="shared" si="207"/>
        <v>0</v>
      </c>
      <c r="H222" s="548"/>
      <c r="I222" s="565">
        <f t="shared" si="212"/>
        <v>1.0658141036401503E-14</v>
      </c>
      <c r="J222" s="548"/>
      <c r="K222" s="688"/>
      <c r="L222" s="565">
        <f t="shared" si="213"/>
        <v>0</v>
      </c>
      <c r="M222" s="688"/>
      <c r="N222" s="565">
        <f t="shared" si="202"/>
        <v>7.0610184366159957E-17</v>
      </c>
      <c r="O222" s="565">
        <f t="shared" si="214"/>
        <v>2</v>
      </c>
      <c r="P222" s="688"/>
      <c r="Q222" s="565">
        <f t="shared" si="208"/>
        <v>1.325E-2</v>
      </c>
      <c r="R222" s="565"/>
      <c r="S222" s="566"/>
      <c r="T222" s="685">
        <f t="shared" si="203"/>
        <v>0</v>
      </c>
      <c r="U222" s="685">
        <f t="shared" si="209"/>
        <v>0</v>
      </c>
      <c r="V222" s="685">
        <f t="shared" si="210"/>
        <v>0</v>
      </c>
      <c r="W222" s="684">
        <f t="shared" si="211"/>
        <v>7.0610184366159957E-17</v>
      </c>
      <c r="X222" s="682">
        <f t="shared" si="204"/>
        <v>0</v>
      </c>
      <c r="Y222" s="552"/>
      <c r="Z222" s="552"/>
      <c r="AA222" s="151"/>
    </row>
    <row r="223" spans="1:27" s="94" customFormat="1" x14ac:dyDescent="0.25">
      <c r="A223" s="95" t="s">
        <v>480</v>
      </c>
      <c r="B223" s="159"/>
      <c r="C223" s="565">
        <f t="shared" si="205"/>
        <v>0</v>
      </c>
      <c r="D223" s="159"/>
      <c r="E223" s="565">
        <f t="shared" si="206"/>
        <v>0</v>
      </c>
      <c r="F223" s="159"/>
      <c r="G223" s="565">
        <f t="shared" si="207"/>
        <v>0</v>
      </c>
      <c r="H223" s="548"/>
      <c r="I223" s="565">
        <f t="shared" si="212"/>
        <v>1.0658141036401503E-14</v>
      </c>
      <c r="J223" s="548"/>
      <c r="K223" s="688"/>
      <c r="L223" s="565">
        <f t="shared" si="213"/>
        <v>0</v>
      </c>
      <c r="M223" s="688"/>
      <c r="N223" s="565">
        <f t="shared" si="202"/>
        <v>7.0610184366159957E-17</v>
      </c>
      <c r="O223" s="565">
        <f t="shared" si="214"/>
        <v>2</v>
      </c>
      <c r="P223" s="688"/>
      <c r="Q223" s="565">
        <f t="shared" si="208"/>
        <v>1.325E-2</v>
      </c>
      <c r="R223" s="565"/>
      <c r="S223" s="566"/>
      <c r="T223" s="685">
        <f t="shared" si="203"/>
        <v>0</v>
      </c>
      <c r="U223" s="685">
        <f t="shared" si="209"/>
        <v>0</v>
      </c>
      <c r="V223" s="685">
        <f t="shared" si="210"/>
        <v>0</v>
      </c>
      <c r="W223" s="684">
        <f t="shared" si="211"/>
        <v>7.0610184366159957E-17</v>
      </c>
      <c r="X223" s="682">
        <f t="shared" si="204"/>
        <v>0</v>
      </c>
      <c r="Y223" s="552"/>
      <c r="Z223" s="552"/>
      <c r="AA223" s="151"/>
    </row>
    <row r="224" spans="1:27" s="94" customFormat="1" x14ac:dyDescent="0.25">
      <c r="A224" s="95" t="s">
        <v>481</v>
      </c>
      <c r="B224" s="159"/>
      <c r="C224" s="565">
        <f t="shared" si="205"/>
        <v>0</v>
      </c>
      <c r="D224" s="159"/>
      <c r="E224" s="565">
        <f t="shared" si="206"/>
        <v>0</v>
      </c>
      <c r="F224" s="159"/>
      <c r="G224" s="565">
        <f t="shared" si="207"/>
        <v>0</v>
      </c>
      <c r="H224" s="548"/>
      <c r="I224" s="565">
        <f t="shared" si="212"/>
        <v>1.0658141036401503E-14</v>
      </c>
      <c r="J224" s="548"/>
      <c r="K224" s="688"/>
      <c r="L224" s="565">
        <f t="shared" si="213"/>
        <v>0</v>
      </c>
      <c r="M224" s="688"/>
      <c r="N224" s="565">
        <f t="shared" si="202"/>
        <v>7.0610184366159957E-17</v>
      </c>
      <c r="O224" s="565">
        <f t="shared" si="214"/>
        <v>2</v>
      </c>
      <c r="P224" s="688"/>
      <c r="Q224" s="565">
        <f t="shared" si="208"/>
        <v>1.325E-2</v>
      </c>
      <c r="R224" s="565"/>
      <c r="S224" s="566"/>
      <c r="T224" s="685">
        <f t="shared" si="203"/>
        <v>0</v>
      </c>
      <c r="U224" s="685">
        <f t="shared" si="209"/>
        <v>0</v>
      </c>
      <c r="V224" s="685">
        <f t="shared" si="210"/>
        <v>0</v>
      </c>
      <c r="W224" s="684">
        <f t="shared" si="211"/>
        <v>7.0610184366159957E-17</v>
      </c>
      <c r="X224" s="682">
        <f t="shared" si="204"/>
        <v>0</v>
      </c>
      <c r="Y224" s="552"/>
      <c r="Z224" s="552"/>
      <c r="AA224" s="151"/>
    </row>
    <row r="225" spans="1:27" s="94" customFormat="1" x14ac:dyDescent="0.25">
      <c r="A225" s="95" t="s">
        <v>482</v>
      </c>
      <c r="B225" s="159"/>
      <c r="C225" s="565">
        <f t="shared" si="205"/>
        <v>0</v>
      </c>
      <c r="D225" s="159"/>
      <c r="E225" s="565">
        <f t="shared" si="206"/>
        <v>0</v>
      </c>
      <c r="F225" s="159"/>
      <c r="G225" s="565">
        <f t="shared" si="207"/>
        <v>0</v>
      </c>
      <c r="H225" s="548"/>
      <c r="I225" s="565">
        <f t="shared" si="212"/>
        <v>1.0658141036401503E-14</v>
      </c>
      <c r="J225" s="548"/>
      <c r="K225" s="688"/>
      <c r="L225" s="565">
        <f t="shared" si="213"/>
        <v>0</v>
      </c>
      <c r="M225" s="688"/>
      <c r="N225" s="565">
        <f t="shared" si="202"/>
        <v>7.0610184366159957E-17</v>
      </c>
      <c r="O225" s="565">
        <f t="shared" si="214"/>
        <v>2</v>
      </c>
      <c r="P225" s="688"/>
      <c r="Q225" s="565">
        <f t="shared" si="208"/>
        <v>1.325E-2</v>
      </c>
      <c r="R225" s="565"/>
      <c r="S225" s="566"/>
      <c r="T225" s="685">
        <f t="shared" si="203"/>
        <v>0</v>
      </c>
      <c r="U225" s="685">
        <f t="shared" si="209"/>
        <v>0</v>
      </c>
      <c r="V225" s="685">
        <f t="shared" si="210"/>
        <v>0</v>
      </c>
      <c r="W225" s="684">
        <f t="shared" si="211"/>
        <v>7.0610184366159957E-17</v>
      </c>
      <c r="X225" s="682">
        <f t="shared" si="204"/>
        <v>0</v>
      </c>
      <c r="Y225" s="552"/>
      <c r="Z225" s="552"/>
      <c r="AA225" s="151"/>
    </row>
    <row r="226" spans="1:27" s="220" customFormat="1" x14ac:dyDescent="0.25">
      <c r="A226" s="105" t="s">
        <v>483</v>
      </c>
      <c r="B226" s="159"/>
      <c r="C226" s="569">
        <f t="shared" si="205"/>
        <v>0</v>
      </c>
      <c r="D226" s="159"/>
      <c r="E226" s="569">
        <f t="shared" si="206"/>
        <v>0</v>
      </c>
      <c r="F226" s="159"/>
      <c r="G226" s="569">
        <f t="shared" si="207"/>
        <v>0</v>
      </c>
      <c r="H226" s="548"/>
      <c r="I226" s="569">
        <f t="shared" si="212"/>
        <v>1.0658141036401503E-14</v>
      </c>
      <c r="J226" s="548"/>
      <c r="K226" s="688"/>
      <c r="L226" s="569">
        <f t="shared" si="213"/>
        <v>0</v>
      </c>
      <c r="M226" s="690"/>
      <c r="N226" s="569">
        <f t="shared" si="202"/>
        <v>7.0610184366159957E-17</v>
      </c>
      <c r="O226" s="569">
        <f t="shared" si="214"/>
        <v>2</v>
      </c>
      <c r="P226" s="690"/>
      <c r="Q226" s="569">
        <f t="shared" si="208"/>
        <v>1.325E-2</v>
      </c>
      <c r="R226" s="569"/>
      <c r="S226" s="569"/>
      <c r="T226" s="686">
        <f t="shared" si="203"/>
        <v>0</v>
      </c>
      <c r="U226" s="686">
        <f t="shared" si="209"/>
        <v>0</v>
      </c>
      <c r="V226" s="686">
        <f t="shared" si="210"/>
        <v>0</v>
      </c>
      <c r="W226" s="687">
        <f t="shared" si="211"/>
        <v>7.0610184366159957E-17</v>
      </c>
      <c r="X226" s="683">
        <f t="shared" si="204"/>
        <v>0</v>
      </c>
      <c r="Y226" s="571"/>
      <c r="Z226" s="571"/>
      <c r="AA226" s="219"/>
    </row>
    <row r="227" spans="1:27" s="94" customFormat="1" x14ac:dyDescent="0.25">
      <c r="A227" s="567" t="s">
        <v>258</v>
      </c>
      <c r="B227" s="566">
        <f>SUM(B215:B226)</f>
        <v>0</v>
      </c>
      <c r="C227" s="565"/>
      <c r="D227" s="566">
        <f>SUM(D215:D226)</f>
        <v>0</v>
      </c>
      <c r="E227" s="565"/>
      <c r="F227" s="566">
        <f>SUM(F215:F226)</f>
        <v>0</v>
      </c>
      <c r="G227" s="565"/>
      <c r="H227" s="566">
        <f>SUM(H215:H226)</f>
        <v>0</v>
      </c>
      <c r="I227" s="565"/>
      <c r="J227" s="566">
        <f>SUM(J215:J226)</f>
        <v>0</v>
      </c>
      <c r="K227" s="566">
        <f>SUM(K215:K226)</f>
        <v>0</v>
      </c>
      <c r="L227" s="565"/>
      <c r="M227" s="566">
        <f>SUM(M215:M226)</f>
        <v>0</v>
      </c>
      <c r="N227" s="566">
        <f>SUM(N215:N226)</f>
        <v>8.4732221239391953E-16</v>
      </c>
      <c r="O227" s="565"/>
      <c r="P227" s="566">
        <f>SUM(P215:P226)</f>
        <v>0</v>
      </c>
      <c r="Q227" s="566">
        <f>SUM(Q215:Q226)</f>
        <v>0.15900000000000003</v>
      </c>
      <c r="R227" s="566"/>
      <c r="S227" s="566">
        <f>N227+Q227</f>
        <v>0.15900000000000089</v>
      </c>
      <c r="T227" s="566">
        <f>SUM(T215:T226)</f>
        <v>0</v>
      </c>
      <c r="U227" s="566">
        <f>SUM(U215:U226)</f>
        <v>0</v>
      </c>
      <c r="V227" s="566">
        <f>SUM(V215:V226)</f>
        <v>0</v>
      </c>
      <c r="W227" s="566">
        <f>SUM(W215:W226)</f>
        <v>8.4732221239391953E-16</v>
      </c>
      <c r="X227" s="566">
        <f>SUM(X215:X226)</f>
        <v>0</v>
      </c>
      <c r="Y227" s="552"/>
      <c r="Z227" s="552"/>
      <c r="AA227" s="151"/>
    </row>
    <row r="228" spans="1:27" s="94" customFormat="1" x14ac:dyDescent="0.25">
      <c r="A228" s="106">
        <f>'Oper.St.'!R11</f>
        <v>2035</v>
      </c>
      <c r="B228" s="1011">
        <f t="shared" ref="B228:I228" si="215">A228</f>
        <v>2035</v>
      </c>
      <c r="C228" s="1011">
        <f t="shared" si="215"/>
        <v>2035</v>
      </c>
      <c r="D228" s="1011">
        <f t="shared" si="215"/>
        <v>2035</v>
      </c>
      <c r="E228" s="1011">
        <f t="shared" si="215"/>
        <v>2035</v>
      </c>
      <c r="F228" s="1011">
        <f t="shared" si="215"/>
        <v>2035</v>
      </c>
      <c r="G228" s="1011">
        <f t="shared" si="215"/>
        <v>2035</v>
      </c>
      <c r="H228" s="1011">
        <f t="shared" si="215"/>
        <v>2035</v>
      </c>
      <c r="I228" s="1011">
        <f t="shared" si="215"/>
        <v>2035</v>
      </c>
      <c r="J228" s="1011"/>
      <c r="K228" s="1011">
        <f>I228</f>
        <v>2035</v>
      </c>
      <c r="L228" s="1011">
        <f>K228</f>
        <v>2035</v>
      </c>
      <c r="M228" s="1011">
        <f>L228</f>
        <v>2035</v>
      </c>
      <c r="N228" s="1011">
        <f>M228</f>
        <v>2035</v>
      </c>
      <c r="O228" s="1011">
        <f>N228</f>
        <v>2035</v>
      </c>
      <c r="P228" s="1011">
        <f>O228</f>
        <v>2035</v>
      </c>
      <c r="Q228" s="1011">
        <f>O228</f>
        <v>2035</v>
      </c>
      <c r="R228" s="1011">
        <f t="shared" ref="R228:X228" si="216">Q228</f>
        <v>2035</v>
      </c>
      <c r="S228" s="1011">
        <f t="shared" si="216"/>
        <v>2035</v>
      </c>
      <c r="T228" s="1011">
        <f t="shared" si="216"/>
        <v>2035</v>
      </c>
      <c r="U228" s="1011">
        <f t="shared" si="216"/>
        <v>2035</v>
      </c>
      <c r="V228" s="1011">
        <f t="shared" si="216"/>
        <v>2035</v>
      </c>
      <c r="W228" s="1011">
        <f t="shared" si="216"/>
        <v>2035</v>
      </c>
      <c r="X228" s="1011">
        <f t="shared" si="216"/>
        <v>2035</v>
      </c>
      <c r="Y228" s="552"/>
      <c r="Z228" s="552"/>
      <c r="AA228" s="151"/>
    </row>
    <row r="229" spans="1:27" s="94" customFormat="1" x14ac:dyDescent="0.25">
      <c r="A229" s="95" t="s">
        <v>472</v>
      </c>
      <c r="B229" s="159"/>
      <c r="C229" s="569">
        <f>C226-B226</f>
        <v>0</v>
      </c>
      <c r="D229" s="159"/>
      <c r="E229" s="565">
        <f>E226-D226</f>
        <v>0</v>
      </c>
      <c r="F229" s="159"/>
      <c r="G229" s="565">
        <f>G226-F226</f>
        <v>0</v>
      </c>
      <c r="H229" s="548"/>
      <c r="I229" s="565">
        <f>I226-H226+J229</f>
        <v>1.0658141036401503E-14</v>
      </c>
      <c r="J229" s="548"/>
      <c r="K229" s="688"/>
      <c r="L229" s="565">
        <f>L226-K226+M229</f>
        <v>0</v>
      </c>
      <c r="M229" s="688"/>
      <c r="N229" s="565">
        <f t="shared" ref="N229:N240" si="217">T229+U229+V229+W229+X229</f>
        <v>7.0610184366159957E-17</v>
      </c>
      <c r="O229" s="565">
        <f>O225+P229</f>
        <v>2</v>
      </c>
      <c r="P229" s="688"/>
      <c r="Q229" s="565">
        <f>O229*$Q$16/100/12*$R$16/100</f>
        <v>1.325E-2</v>
      </c>
      <c r="R229" s="565"/>
      <c r="S229" s="566"/>
      <c r="T229" s="685">
        <f t="shared" ref="T229:T240" si="218">C229*$C$17/100/12</f>
        <v>0</v>
      </c>
      <c r="U229" s="685">
        <f>E229*$E$17/100/12</f>
        <v>0</v>
      </c>
      <c r="V229" s="685">
        <f>G229*$G$17/100/12</f>
        <v>0</v>
      </c>
      <c r="W229" s="684">
        <f>I229*$I$17/100/12</f>
        <v>7.0610184366159957E-17</v>
      </c>
      <c r="X229" s="682">
        <f t="shared" ref="X229:X240" si="219">L229*$L$17/100/12</f>
        <v>0</v>
      </c>
      <c r="Y229" s="552"/>
      <c r="Z229" s="552"/>
      <c r="AA229" s="151"/>
    </row>
    <row r="230" spans="1:27" s="94" customFormat="1" x14ac:dyDescent="0.25">
      <c r="A230" s="95" t="s">
        <v>473</v>
      </c>
      <c r="B230" s="159"/>
      <c r="C230" s="565">
        <f t="shared" ref="C230:C240" si="220">C229-B229</f>
        <v>0</v>
      </c>
      <c r="D230" s="159"/>
      <c r="E230" s="565">
        <f t="shared" ref="E230:E240" si="221">E229-D229</f>
        <v>0</v>
      </c>
      <c r="F230" s="159"/>
      <c r="G230" s="565">
        <f t="shared" ref="G230:G240" si="222">G229-F229</f>
        <v>0</v>
      </c>
      <c r="H230" s="548"/>
      <c r="I230" s="565">
        <f>I229-H229+J230</f>
        <v>1.0658141036401503E-14</v>
      </c>
      <c r="J230" s="548"/>
      <c r="K230" s="688"/>
      <c r="L230" s="565">
        <f>L229-K229+M230</f>
        <v>0</v>
      </c>
      <c r="M230" s="688"/>
      <c r="N230" s="565">
        <f t="shared" si="217"/>
        <v>7.0610184366159957E-17</v>
      </c>
      <c r="O230" s="565">
        <f>O229+P230</f>
        <v>2</v>
      </c>
      <c r="P230" s="688"/>
      <c r="Q230" s="565">
        <f t="shared" ref="Q230:Q240" si="223">O230*$Q$16/100/12*$R$16/100</f>
        <v>1.325E-2</v>
      </c>
      <c r="R230" s="565"/>
      <c r="S230" s="566"/>
      <c r="T230" s="685">
        <f t="shared" si="218"/>
        <v>0</v>
      </c>
      <c r="U230" s="685">
        <f t="shared" ref="U230:U240" si="224">E230*$E$17/100/12</f>
        <v>0</v>
      </c>
      <c r="V230" s="685">
        <f t="shared" ref="V230:V240" si="225">G230*$G$17/100/12</f>
        <v>0</v>
      </c>
      <c r="W230" s="684">
        <f t="shared" ref="W230:W240" si="226">I230*$I$17/100/12</f>
        <v>7.0610184366159957E-17</v>
      </c>
      <c r="X230" s="682">
        <f t="shared" si="219"/>
        <v>0</v>
      </c>
      <c r="Y230" s="552"/>
      <c r="Z230" s="552"/>
      <c r="AA230" s="151"/>
    </row>
    <row r="231" spans="1:27" s="94" customFormat="1" x14ac:dyDescent="0.25">
      <c r="A231" s="95" t="s">
        <v>474</v>
      </c>
      <c r="B231" s="159"/>
      <c r="C231" s="565">
        <f t="shared" si="220"/>
        <v>0</v>
      </c>
      <c r="D231" s="159"/>
      <c r="E231" s="565">
        <f t="shared" si="221"/>
        <v>0</v>
      </c>
      <c r="F231" s="159"/>
      <c r="G231" s="565">
        <f t="shared" si="222"/>
        <v>0</v>
      </c>
      <c r="H231" s="548"/>
      <c r="I231" s="565">
        <f t="shared" ref="I231:I240" si="227">I230-H230+J231</f>
        <v>1.0658141036401503E-14</v>
      </c>
      <c r="J231" s="548"/>
      <c r="K231" s="688"/>
      <c r="L231" s="565">
        <f t="shared" ref="L231:L240" si="228">L230-K230+M231</f>
        <v>0</v>
      </c>
      <c r="M231" s="688"/>
      <c r="N231" s="565">
        <f t="shared" si="217"/>
        <v>7.0610184366159957E-17</v>
      </c>
      <c r="O231" s="565">
        <f t="shared" ref="O231:O240" si="229">O230+P231</f>
        <v>2</v>
      </c>
      <c r="P231" s="688"/>
      <c r="Q231" s="565">
        <f t="shared" si="223"/>
        <v>1.325E-2</v>
      </c>
      <c r="R231" s="565"/>
      <c r="S231" s="566"/>
      <c r="T231" s="685">
        <f t="shared" si="218"/>
        <v>0</v>
      </c>
      <c r="U231" s="685">
        <f t="shared" si="224"/>
        <v>0</v>
      </c>
      <c r="V231" s="685">
        <f t="shared" si="225"/>
        <v>0</v>
      </c>
      <c r="W231" s="684">
        <f t="shared" si="226"/>
        <v>7.0610184366159957E-17</v>
      </c>
      <c r="X231" s="682">
        <f t="shared" si="219"/>
        <v>0</v>
      </c>
      <c r="Y231" s="552"/>
      <c r="Z231" s="552"/>
      <c r="AA231" s="151"/>
    </row>
    <row r="232" spans="1:27" s="94" customFormat="1" x14ac:dyDescent="0.25">
      <c r="A232" s="95" t="s">
        <v>475</v>
      </c>
      <c r="B232" s="159"/>
      <c r="C232" s="565">
        <f t="shared" si="220"/>
        <v>0</v>
      </c>
      <c r="D232" s="159"/>
      <c r="E232" s="565">
        <f t="shared" si="221"/>
        <v>0</v>
      </c>
      <c r="F232" s="159"/>
      <c r="G232" s="565">
        <f t="shared" si="222"/>
        <v>0</v>
      </c>
      <c r="H232" s="548"/>
      <c r="I232" s="565">
        <f t="shared" si="227"/>
        <v>1.0658141036401503E-14</v>
      </c>
      <c r="J232" s="548"/>
      <c r="K232" s="688"/>
      <c r="L232" s="565">
        <f t="shared" si="228"/>
        <v>0</v>
      </c>
      <c r="M232" s="688"/>
      <c r="N232" s="565">
        <f t="shared" si="217"/>
        <v>7.0610184366159957E-17</v>
      </c>
      <c r="O232" s="565">
        <f t="shared" si="229"/>
        <v>2</v>
      </c>
      <c r="P232" s="688"/>
      <c r="Q232" s="565">
        <f t="shared" si="223"/>
        <v>1.325E-2</v>
      </c>
      <c r="R232" s="565"/>
      <c r="S232" s="566"/>
      <c r="T232" s="685">
        <f t="shared" si="218"/>
        <v>0</v>
      </c>
      <c r="U232" s="685">
        <f t="shared" si="224"/>
        <v>0</v>
      </c>
      <c r="V232" s="685">
        <f t="shared" si="225"/>
        <v>0</v>
      </c>
      <c r="W232" s="684">
        <f t="shared" si="226"/>
        <v>7.0610184366159957E-17</v>
      </c>
      <c r="X232" s="682">
        <f t="shared" si="219"/>
        <v>0</v>
      </c>
      <c r="Y232" s="552"/>
      <c r="Z232" s="552"/>
      <c r="AA232" s="151"/>
    </row>
    <row r="233" spans="1:27" s="94" customFormat="1" x14ac:dyDescent="0.25">
      <c r="A233" s="95" t="s">
        <v>476</v>
      </c>
      <c r="B233" s="159"/>
      <c r="C233" s="565">
        <f t="shared" si="220"/>
        <v>0</v>
      </c>
      <c r="D233" s="159"/>
      <c r="E233" s="565">
        <f t="shared" si="221"/>
        <v>0</v>
      </c>
      <c r="F233" s="159"/>
      <c r="G233" s="565">
        <f t="shared" si="222"/>
        <v>0</v>
      </c>
      <c r="H233" s="548"/>
      <c r="I233" s="565">
        <f t="shared" si="227"/>
        <v>1.0658141036401503E-14</v>
      </c>
      <c r="J233" s="548"/>
      <c r="K233" s="688"/>
      <c r="L233" s="565">
        <f t="shared" si="228"/>
        <v>0</v>
      </c>
      <c r="M233" s="688"/>
      <c r="N233" s="565">
        <f t="shared" si="217"/>
        <v>7.0610184366159957E-17</v>
      </c>
      <c r="O233" s="565">
        <f t="shared" si="229"/>
        <v>2</v>
      </c>
      <c r="P233" s="688"/>
      <c r="Q233" s="565">
        <f t="shared" si="223"/>
        <v>1.325E-2</v>
      </c>
      <c r="R233" s="565"/>
      <c r="S233" s="566"/>
      <c r="T233" s="685">
        <f t="shared" si="218"/>
        <v>0</v>
      </c>
      <c r="U233" s="685">
        <f t="shared" si="224"/>
        <v>0</v>
      </c>
      <c r="V233" s="685">
        <f t="shared" si="225"/>
        <v>0</v>
      </c>
      <c r="W233" s="684">
        <f t="shared" si="226"/>
        <v>7.0610184366159957E-17</v>
      </c>
      <c r="X233" s="682">
        <f t="shared" si="219"/>
        <v>0</v>
      </c>
      <c r="Y233" s="552"/>
      <c r="Z233" s="552"/>
      <c r="AA233" s="151"/>
    </row>
    <row r="234" spans="1:27" s="94" customFormat="1" x14ac:dyDescent="0.25">
      <c r="A234" s="95" t="s">
        <v>477</v>
      </c>
      <c r="B234" s="159"/>
      <c r="C234" s="565">
        <f t="shared" si="220"/>
        <v>0</v>
      </c>
      <c r="D234" s="159"/>
      <c r="E234" s="565">
        <f t="shared" si="221"/>
        <v>0</v>
      </c>
      <c r="F234" s="159"/>
      <c r="G234" s="565">
        <f t="shared" si="222"/>
        <v>0</v>
      </c>
      <c r="H234" s="548"/>
      <c r="I234" s="565">
        <f t="shared" si="227"/>
        <v>1.0658141036401503E-14</v>
      </c>
      <c r="J234" s="548"/>
      <c r="K234" s="688"/>
      <c r="L234" s="565">
        <f t="shared" si="228"/>
        <v>0</v>
      </c>
      <c r="M234" s="688"/>
      <c r="N234" s="565">
        <f t="shared" si="217"/>
        <v>7.0610184366159957E-17</v>
      </c>
      <c r="O234" s="565">
        <f t="shared" si="229"/>
        <v>2</v>
      </c>
      <c r="P234" s="688"/>
      <c r="Q234" s="565">
        <f t="shared" si="223"/>
        <v>1.325E-2</v>
      </c>
      <c r="R234" s="565"/>
      <c r="S234" s="566"/>
      <c r="T234" s="685">
        <f t="shared" si="218"/>
        <v>0</v>
      </c>
      <c r="U234" s="685">
        <f t="shared" si="224"/>
        <v>0</v>
      </c>
      <c r="V234" s="685">
        <f t="shared" si="225"/>
        <v>0</v>
      </c>
      <c r="W234" s="684">
        <f t="shared" si="226"/>
        <v>7.0610184366159957E-17</v>
      </c>
      <c r="X234" s="682">
        <f t="shared" si="219"/>
        <v>0</v>
      </c>
      <c r="Y234" s="552"/>
      <c r="Z234" s="552"/>
      <c r="AA234" s="151"/>
    </row>
    <row r="235" spans="1:27" s="94" customFormat="1" x14ac:dyDescent="0.25">
      <c r="A235" s="95" t="s">
        <v>478</v>
      </c>
      <c r="B235" s="159"/>
      <c r="C235" s="565">
        <f t="shared" si="220"/>
        <v>0</v>
      </c>
      <c r="D235" s="159"/>
      <c r="E235" s="565">
        <f t="shared" si="221"/>
        <v>0</v>
      </c>
      <c r="F235" s="159"/>
      <c r="G235" s="565">
        <f t="shared" si="222"/>
        <v>0</v>
      </c>
      <c r="H235" s="548"/>
      <c r="I235" s="565">
        <f t="shared" si="227"/>
        <v>1.0658141036401503E-14</v>
      </c>
      <c r="J235" s="548"/>
      <c r="K235" s="688"/>
      <c r="L235" s="565">
        <f t="shared" si="228"/>
        <v>0</v>
      </c>
      <c r="M235" s="688"/>
      <c r="N235" s="565">
        <f t="shared" si="217"/>
        <v>7.0610184366159957E-17</v>
      </c>
      <c r="O235" s="565">
        <f t="shared" si="229"/>
        <v>2</v>
      </c>
      <c r="P235" s="688"/>
      <c r="Q235" s="565">
        <f t="shared" si="223"/>
        <v>1.325E-2</v>
      </c>
      <c r="R235" s="565"/>
      <c r="S235" s="566"/>
      <c r="T235" s="685">
        <f t="shared" si="218"/>
        <v>0</v>
      </c>
      <c r="U235" s="685">
        <f t="shared" si="224"/>
        <v>0</v>
      </c>
      <c r="V235" s="685">
        <f t="shared" si="225"/>
        <v>0</v>
      </c>
      <c r="W235" s="684">
        <f t="shared" si="226"/>
        <v>7.0610184366159957E-17</v>
      </c>
      <c r="X235" s="682">
        <f t="shared" si="219"/>
        <v>0</v>
      </c>
      <c r="Y235" s="552"/>
      <c r="Z235" s="552"/>
      <c r="AA235" s="151"/>
    </row>
    <row r="236" spans="1:27" s="94" customFormat="1" x14ac:dyDescent="0.25">
      <c r="A236" s="95" t="s">
        <v>479</v>
      </c>
      <c r="B236" s="159"/>
      <c r="C236" s="565">
        <f t="shared" si="220"/>
        <v>0</v>
      </c>
      <c r="D236" s="159"/>
      <c r="E236" s="565">
        <f t="shared" si="221"/>
        <v>0</v>
      </c>
      <c r="F236" s="159"/>
      <c r="G236" s="565">
        <f t="shared" si="222"/>
        <v>0</v>
      </c>
      <c r="H236" s="548"/>
      <c r="I236" s="565">
        <f t="shared" si="227"/>
        <v>1.0658141036401503E-14</v>
      </c>
      <c r="J236" s="548"/>
      <c r="K236" s="688"/>
      <c r="L236" s="565">
        <f t="shared" si="228"/>
        <v>0</v>
      </c>
      <c r="M236" s="688"/>
      <c r="N236" s="565">
        <f t="shared" si="217"/>
        <v>7.0610184366159957E-17</v>
      </c>
      <c r="O236" s="565">
        <f t="shared" si="229"/>
        <v>2</v>
      </c>
      <c r="P236" s="688"/>
      <c r="Q236" s="565">
        <f t="shared" si="223"/>
        <v>1.325E-2</v>
      </c>
      <c r="R236" s="565"/>
      <c r="S236" s="566"/>
      <c r="T236" s="685">
        <f t="shared" si="218"/>
        <v>0</v>
      </c>
      <c r="U236" s="685">
        <f t="shared" si="224"/>
        <v>0</v>
      </c>
      <c r="V236" s="685">
        <f t="shared" si="225"/>
        <v>0</v>
      </c>
      <c r="W236" s="684">
        <f t="shared" si="226"/>
        <v>7.0610184366159957E-17</v>
      </c>
      <c r="X236" s="682">
        <f t="shared" si="219"/>
        <v>0</v>
      </c>
      <c r="Y236" s="552"/>
      <c r="Z236" s="552"/>
      <c r="AA236" s="151"/>
    </row>
    <row r="237" spans="1:27" s="94" customFormat="1" x14ac:dyDescent="0.25">
      <c r="A237" s="95" t="s">
        <v>480</v>
      </c>
      <c r="B237" s="159"/>
      <c r="C237" s="565">
        <f t="shared" si="220"/>
        <v>0</v>
      </c>
      <c r="D237" s="159"/>
      <c r="E237" s="565">
        <f t="shared" si="221"/>
        <v>0</v>
      </c>
      <c r="F237" s="159"/>
      <c r="G237" s="565">
        <f t="shared" si="222"/>
        <v>0</v>
      </c>
      <c r="H237" s="548"/>
      <c r="I237" s="565">
        <f t="shared" si="227"/>
        <v>1.0658141036401503E-14</v>
      </c>
      <c r="J237" s="548"/>
      <c r="K237" s="688"/>
      <c r="L237" s="565">
        <f t="shared" si="228"/>
        <v>0</v>
      </c>
      <c r="M237" s="688"/>
      <c r="N237" s="565">
        <f t="shared" si="217"/>
        <v>7.0610184366159957E-17</v>
      </c>
      <c r="O237" s="565">
        <f t="shared" si="229"/>
        <v>2</v>
      </c>
      <c r="P237" s="688"/>
      <c r="Q237" s="565">
        <f t="shared" si="223"/>
        <v>1.325E-2</v>
      </c>
      <c r="R237" s="565"/>
      <c r="S237" s="566"/>
      <c r="T237" s="685">
        <f t="shared" si="218"/>
        <v>0</v>
      </c>
      <c r="U237" s="685">
        <f t="shared" si="224"/>
        <v>0</v>
      </c>
      <c r="V237" s="685">
        <f t="shared" si="225"/>
        <v>0</v>
      </c>
      <c r="W237" s="684">
        <f t="shared" si="226"/>
        <v>7.0610184366159957E-17</v>
      </c>
      <c r="X237" s="682">
        <f t="shared" si="219"/>
        <v>0</v>
      </c>
      <c r="Y237" s="552"/>
      <c r="Z237" s="552"/>
      <c r="AA237" s="151"/>
    </row>
    <row r="238" spans="1:27" s="94" customFormat="1" x14ac:dyDescent="0.25">
      <c r="A238" s="95" t="s">
        <v>481</v>
      </c>
      <c r="B238" s="159"/>
      <c r="C238" s="565">
        <f t="shared" si="220"/>
        <v>0</v>
      </c>
      <c r="D238" s="159"/>
      <c r="E238" s="565">
        <f t="shared" si="221"/>
        <v>0</v>
      </c>
      <c r="F238" s="159"/>
      <c r="G238" s="565">
        <f t="shared" si="222"/>
        <v>0</v>
      </c>
      <c r="H238" s="548"/>
      <c r="I238" s="565">
        <f t="shared" si="227"/>
        <v>1.0658141036401503E-14</v>
      </c>
      <c r="J238" s="548"/>
      <c r="K238" s="688"/>
      <c r="L238" s="565">
        <f t="shared" si="228"/>
        <v>0</v>
      </c>
      <c r="M238" s="688"/>
      <c r="N238" s="565">
        <f t="shared" si="217"/>
        <v>7.0610184366159957E-17</v>
      </c>
      <c r="O238" s="565">
        <f t="shared" si="229"/>
        <v>2</v>
      </c>
      <c r="P238" s="688"/>
      <c r="Q238" s="565">
        <f t="shared" si="223"/>
        <v>1.325E-2</v>
      </c>
      <c r="R238" s="565"/>
      <c r="S238" s="566"/>
      <c r="T238" s="685">
        <f t="shared" si="218"/>
        <v>0</v>
      </c>
      <c r="U238" s="685">
        <f t="shared" si="224"/>
        <v>0</v>
      </c>
      <c r="V238" s="685">
        <f t="shared" si="225"/>
        <v>0</v>
      </c>
      <c r="W238" s="684">
        <f t="shared" si="226"/>
        <v>7.0610184366159957E-17</v>
      </c>
      <c r="X238" s="682">
        <f t="shared" si="219"/>
        <v>0</v>
      </c>
      <c r="Y238" s="552"/>
      <c r="Z238" s="552"/>
      <c r="AA238" s="151"/>
    </row>
    <row r="239" spans="1:27" s="94" customFormat="1" x14ac:dyDescent="0.25">
      <c r="A239" s="95" t="s">
        <v>482</v>
      </c>
      <c r="B239" s="159"/>
      <c r="C239" s="565">
        <f t="shared" si="220"/>
        <v>0</v>
      </c>
      <c r="D239" s="159"/>
      <c r="E239" s="565">
        <f t="shared" si="221"/>
        <v>0</v>
      </c>
      <c r="F239" s="159"/>
      <c r="G239" s="565">
        <f t="shared" si="222"/>
        <v>0</v>
      </c>
      <c r="H239" s="548"/>
      <c r="I239" s="565">
        <f t="shared" si="227"/>
        <v>1.0658141036401503E-14</v>
      </c>
      <c r="J239" s="548"/>
      <c r="K239" s="688"/>
      <c r="L239" s="565">
        <f t="shared" si="228"/>
        <v>0</v>
      </c>
      <c r="M239" s="688"/>
      <c r="N239" s="565">
        <f t="shared" si="217"/>
        <v>7.0610184366159957E-17</v>
      </c>
      <c r="O239" s="565">
        <f t="shared" si="229"/>
        <v>2</v>
      </c>
      <c r="P239" s="688"/>
      <c r="Q239" s="565">
        <f t="shared" si="223"/>
        <v>1.325E-2</v>
      </c>
      <c r="R239" s="565"/>
      <c r="S239" s="566"/>
      <c r="T239" s="685">
        <f t="shared" si="218"/>
        <v>0</v>
      </c>
      <c r="U239" s="685">
        <f t="shared" si="224"/>
        <v>0</v>
      </c>
      <c r="V239" s="685">
        <f t="shared" si="225"/>
        <v>0</v>
      </c>
      <c r="W239" s="684">
        <f t="shared" si="226"/>
        <v>7.0610184366159957E-17</v>
      </c>
      <c r="X239" s="682">
        <f t="shared" si="219"/>
        <v>0</v>
      </c>
      <c r="Y239" s="552"/>
      <c r="Z239" s="552"/>
      <c r="AA239" s="151"/>
    </row>
    <row r="240" spans="1:27" s="220" customFormat="1" x14ac:dyDescent="0.25">
      <c r="A240" s="105" t="s">
        <v>483</v>
      </c>
      <c r="B240" s="159"/>
      <c r="C240" s="569">
        <f t="shared" si="220"/>
        <v>0</v>
      </c>
      <c r="D240" s="159"/>
      <c r="E240" s="569">
        <f t="shared" si="221"/>
        <v>0</v>
      </c>
      <c r="F240" s="159"/>
      <c r="G240" s="569">
        <f t="shared" si="222"/>
        <v>0</v>
      </c>
      <c r="H240" s="548"/>
      <c r="I240" s="569">
        <f t="shared" si="227"/>
        <v>1.0658141036401503E-14</v>
      </c>
      <c r="J240" s="548"/>
      <c r="K240" s="688"/>
      <c r="L240" s="569">
        <f t="shared" si="228"/>
        <v>0</v>
      </c>
      <c r="M240" s="690"/>
      <c r="N240" s="569">
        <f t="shared" si="217"/>
        <v>7.0610184366159957E-17</v>
      </c>
      <c r="O240" s="569">
        <f t="shared" si="229"/>
        <v>2</v>
      </c>
      <c r="P240" s="690"/>
      <c r="Q240" s="569">
        <f t="shared" si="223"/>
        <v>1.325E-2</v>
      </c>
      <c r="R240" s="569"/>
      <c r="S240" s="569"/>
      <c r="T240" s="686">
        <f t="shared" si="218"/>
        <v>0</v>
      </c>
      <c r="U240" s="686">
        <f t="shared" si="224"/>
        <v>0</v>
      </c>
      <c r="V240" s="686">
        <f t="shared" si="225"/>
        <v>0</v>
      </c>
      <c r="W240" s="687">
        <f t="shared" si="226"/>
        <v>7.0610184366159957E-17</v>
      </c>
      <c r="X240" s="683">
        <f t="shared" si="219"/>
        <v>0</v>
      </c>
      <c r="Y240" s="571"/>
      <c r="Z240" s="571"/>
      <c r="AA240" s="219"/>
    </row>
    <row r="241" spans="1:27" s="94" customFormat="1" x14ac:dyDescent="0.25">
      <c r="A241" s="567" t="s">
        <v>258</v>
      </c>
      <c r="B241" s="566">
        <f>SUM(B229:B240)</f>
        <v>0</v>
      </c>
      <c r="C241" s="565"/>
      <c r="D241" s="566">
        <f>SUM(D229:D240)</f>
        <v>0</v>
      </c>
      <c r="E241" s="565"/>
      <c r="F241" s="566">
        <f>SUM(F229:F240)</f>
        <v>0</v>
      </c>
      <c r="G241" s="565"/>
      <c r="H241" s="566">
        <f>SUM(H229:H240)</f>
        <v>0</v>
      </c>
      <c r="I241" s="565"/>
      <c r="J241" s="566">
        <f>SUM(J229:J240)</f>
        <v>0</v>
      </c>
      <c r="K241" s="566">
        <f>SUM(K229:K240)</f>
        <v>0</v>
      </c>
      <c r="L241" s="565"/>
      <c r="M241" s="566">
        <f>SUM(M229:M240)</f>
        <v>0</v>
      </c>
      <c r="N241" s="566">
        <f>SUM(N229:N240)</f>
        <v>8.4732221239391953E-16</v>
      </c>
      <c r="O241" s="565"/>
      <c r="P241" s="566">
        <f>SUM(P229:P240)</f>
        <v>0</v>
      </c>
      <c r="Q241" s="566">
        <f>SUM(Q229:Q240)</f>
        <v>0.15900000000000003</v>
      </c>
      <c r="R241" s="566"/>
      <c r="S241" s="566">
        <f>N241+Q241</f>
        <v>0.15900000000000089</v>
      </c>
      <c r="T241" s="566">
        <f>SUM(T229:T240)</f>
        <v>0</v>
      </c>
      <c r="U241" s="566">
        <f>SUM(U229:U240)</f>
        <v>0</v>
      </c>
      <c r="V241" s="566">
        <f>SUM(V229:V240)</f>
        <v>0</v>
      </c>
      <c r="W241" s="566">
        <f>SUM(W229:W240)</f>
        <v>8.4732221239391953E-16</v>
      </c>
      <c r="X241" s="566">
        <f>SUM(X229:X240)</f>
        <v>0</v>
      </c>
      <c r="Y241" s="552"/>
      <c r="Z241" s="552"/>
      <c r="AA241" s="151"/>
    </row>
    <row r="242" spans="1:27" s="94" customFormat="1" x14ac:dyDescent="0.25">
      <c r="A242" s="106">
        <f>'Oper.St.'!S11</f>
        <v>2036</v>
      </c>
      <c r="B242" s="1011">
        <f t="shared" ref="B242:I242" si="230">A242</f>
        <v>2036</v>
      </c>
      <c r="C242" s="1011">
        <f t="shared" si="230"/>
        <v>2036</v>
      </c>
      <c r="D242" s="1011">
        <f t="shared" si="230"/>
        <v>2036</v>
      </c>
      <c r="E242" s="1011">
        <f t="shared" si="230"/>
        <v>2036</v>
      </c>
      <c r="F242" s="1011">
        <f t="shared" si="230"/>
        <v>2036</v>
      </c>
      <c r="G242" s="1011">
        <f t="shared" si="230"/>
        <v>2036</v>
      </c>
      <c r="H242" s="1011">
        <f t="shared" si="230"/>
        <v>2036</v>
      </c>
      <c r="I242" s="1011">
        <f t="shared" si="230"/>
        <v>2036</v>
      </c>
      <c r="J242" s="1011"/>
      <c r="K242" s="1011">
        <f>I242</f>
        <v>2036</v>
      </c>
      <c r="L242" s="1011">
        <f>K242</f>
        <v>2036</v>
      </c>
      <c r="M242" s="1011">
        <f>L242</f>
        <v>2036</v>
      </c>
      <c r="N242" s="1011">
        <f>M242</f>
        <v>2036</v>
      </c>
      <c r="O242" s="1011">
        <f>N242</f>
        <v>2036</v>
      </c>
      <c r="P242" s="1011">
        <f>O242</f>
        <v>2036</v>
      </c>
      <c r="Q242" s="1011">
        <f>O242</f>
        <v>2036</v>
      </c>
      <c r="R242" s="1011">
        <f t="shared" ref="R242:X242" si="231">Q242</f>
        <v>2036</v>
      </c>
      <c r="S242" s="1011">
        <f t="shared" si="231"/>
        <v>2036</v>
      </c>
      <c r="T242" s="1011">
        <f t="shared" si="231"/>
        <v>2036</v>
      </c>
      <c r="U242" s="1011">
        <f t="shared" si="231"/>
        <v>2036</v>
      </c>
      <c r="V242" s="1011">
        <f t="shared" si="231"/>
        <v>2036</v>
      </c>
      <c r="W242" s="1011">
        <f t="shared" si="231"/>
        <v>2036</v>
      </c>
      <c r="X242" s="1011">
        <f t="shared" si="231"/>
        <v>2036</v>
      </c>
      <c r="Y242" s="552"/>
      <c r="Z242" s="552"/>
      <c r="AA242" s="151"/>
    </row>
    <row r="243" spans="1:27" s="94" customFormat="1" x14ac:dyDescent="0.25">
      <c r="A243" s="95" t="s">
        <v>472</v>
      </c>
      <c r="B243" s="159"/>
      <c r="C243" s="569">
        <f>C240-B240</f>
        <v>0</v>
      </c>
      <c r="D243" s="159"/>
      <c r="E243" s="565">
        <f>E240-D240</f>
        <v>0</v>
      </c>
      <c r="F243" s="159"/>
      <c r="G243" s="565">
        <f>G240-F240</f>
        <v>0</v>
      </c>
      <c r="H243" s="548"/>
      <c r="I243" s="565">
        <f>I240-H240+J243</f>
        <v>1.0658141036401503E-14</v>
      </c>
      <c r="J243" s="548"/>
      <c r="K243" s="688"/>
      <c r="L243" s="565">
        <f>L240-K240+M243</f>
        <v>0</v>
      </c>
      <c r="M243" s="688"/>
      <c r="N243" s="565">
        <f t="shared" ref="N243:N254" si="232">T243+U243+V243+W243+X243</f>
        <v>7.0610184366159957E-17</v>
      </c>
      <c r="O243" s="565">
        <f>O239+P243</f>
        <v>2</v>
      </c>
      <c r="P243" s="688"/>
      <c r="Q243" s="565">
        <f>O243*$Q$16/100/12*$R$16/100</f>
        <v>1.325E-2</v>
      </c>
      <c r="R243" s="565"/>
      <c r="S243" s="566"/>
      <c r="T243" s="685">
        <f t="shared" ref="T243:T254" si="233">C243*$C$17/100/12</f>
        <v>0</v>
      </c>
      <c r="U243" s="685">
        <f>E243*$E$17/100/12</f>
        <v>0</v>
      </c>
      <c r="V243" s="685">
        <f>G243*$G$17/100/12</f>
        <v>0</v>
      </c>
      <c r="W243" s="684">
        <f>I243*$I$17/100/12</f>
        <v>7.0610184366159957E-17</v>
      </c>
      <c r="X243" s="682">
        <f t="shared" ref="X243:X254" si="234">L243*$L$17/100/12</f>
        <v>0</v>
      </c>
      <c r="Y243" s="552"/>
      <c r="Z243" s="552"/>
      <c r="AA243" s="151"/>
    </row>
    <row r="244" spans="1:27" s="94" customFormat="1" x14ac:dyDescent="0.25">
      <c r="A244" s="95" t="s">
        <v>473</v>
      </c>
      <c r="B244" s="159"/>
      <c r="C244" s="565">
        <f t="shared" ref="C244:C254" si="235">C243-B243</f>
        <v>0</v>
      </c>
      <c r="D244" s="159"/>
      <c r="E244" s="565">
        <f t="shared" ref="E244:E254" si="236">E243-D243</f>
        <v>0</v>
      </c>
      <c r="F244" s="159"/>
      <c r="G244" s="565">
        <f t="shared" ref="G244:G254" si="237">G243-F243</f>
        <v>0</v>
      </c>
      <c r="H244" s="548"/>
      <c r="I244" s="565">
        <f>I243-H243+J244</f>
        <v>1.0658141036401503E-14</v>
      </c>
      <c r="J244" s="548"/>
      <c r="K244" s="688"/>
      <c r="L244" s="565">
        <f>L243-K243+M244</f>
        <v>0</v>
      </c>
      <c r="M244" s="688"/>
      <c r="N244" s="565">
        <f t="shared" si="232"/>
        <v>7.0610184366159957E-17</v>
      </c>
      <c r="O244" s="565">
        <f>O243+P244</f>
        <v>2</v>
      </c>
      <c r="P244" s="688"/>
      <c r="Q244" s="565">
        <f t="shared" ref="Q244:Q254" si="238">O244*$Q$16/100/12*$R$16/100</f>
        <v>1.325E-2</v>
      </c>
      <c r="R244" s="565"/>
      <c r="S244" s="566"/>
      <c r="T244" s="685">
        <f t="shared" si="233"/>
        <v>0</v>
      </c>
      <c r="U244" s="685">
        <f t="shared" ref="U244:U254" si="239">E244*$E$17/100/12</f>
        <v>0</v>
      </c>
      <c r="V244" s="685">
        <f t="shared" ref="V244:V254" si="240">G244*$G$17/100/12</f>
        <v>0</v>
      </c>
      <c r="W244" s="684">
        <f t="shared" ref="W244:W254" si="241">I244*$I$17/100/12</f>
        <v>7.0610184366159957E-17</v>
      </c>
      <c r="X244" s="682">
        <f t="shared" si="234"/>
        <v>0</v>
      </c>
      <c r="Y244" s="552"/>
      <c r="Z244" s="552"/>
      <c r="AA244" s="151"/>
    </row>
    <row r="245" spans="1:27" s="94" customFormat="1" x14ac:dyDescent="0.25">
      <c r="A245" s="95" t="s">
        <v>474</v>
      </c>
      <c r="B245" s="159"/>
      <c r="C245" s="565">
        <f t="shared" si="235"/>
        <v>0</v>
      </c>
      <c r="D245" s="159"/>
      <c r="E245" s="565">
        <f t="shared" si="236"/>
        <v>0</v>
      </c>
      <c r="F245" s="159"/>
      <c r="G245" s="565">
        <f t="shared" si="237"/>
        <v>0</v>
      </c>
      <c r="H245" s="548"/>
      <c r="I245" s="565">
        <f t="shared" ref="I245:I254" si="242">I244-H244+J245</f>
        <v>1.0658141036401503E-14</v>
      </c>
      <c r="J245" s="548"/>
      <c r="K245" s="688"/>
      <c r="L245" s="565">
        <f t="shared" ref="L245:L254" si="243">L244-K244+M245</f>
        <v>0</v>
      </c>
      <c r="M245" s="688"/>
      <c r="N245" s="565">
        <f t="shared" si="232"/>
        <v>7.0610184366159957E-17</v>
      </c>
      <c r="O245" s="565">
        <f t="shared" ref="O245:O254" si="244">O244+P245</f>
        <v>2</v>
      </c>
      <c r="P245" s="688"/>
      <c r="Q245" s="565">
        <f t="shared" si="238"/>
        <v>1.325E-2</v>
      </c>
      <c r="R245" s="565"/>
      <c r="S245" s="566"/>
      <c r="T245" s="685">
        <f t="shared" si="233"/>
        <v>0</v>
      </c>
      <c r="U245" s="685">
        <f t="shared" si="239"/>
        <v>0</v>
      </c>
      <c r="V245" s="685">
        <f t="shared" si="240"/>
        <v>0</v>
      </c>
      <c r="W245" s="684">
        <f t="shared" si="241"/>
        <v>7.0610184366159957E-17</v>
      </c>
      <c r="X245" s="682">
        <f t="shared" si="234"/>
        <v>0</v>
      </c>
      <c r="Y245" s="552"/>
      <c r="Z245" s="552"/>
      <c r="AA245" s="151"/>
    </row>
    <row r="246" spans="1:27" s="94" customFormat="1" x14ac:dyDescent="0.25">
      <c r="A246" s="95" t="s">
        <v>475</v>
      </c>
      <c r="B246" s="159"/>
      <c r="C246" s="565">
        <f t="shared" si="235"/>
        <v>0</v>
      </c>
      <c r="D246" s="159"/>
      <c r="E246" s="565">
        <f t="shared" si="236"/>
        <v>0</v>
      </c>
      <c r="F246" s="159"/>
      <c r="G246" s="565">
        <f t="shared" si="237"/>
        <v>0</v>
      </c>
      <c r="H246" s="548"/>
      <c r="I246" s="565">
        <f t="shared" si="242"/>
        <v>1.0658141036401503E-14</v>
      </c>
      <c r="J246" s="548"/>
      <c r="K246" s="688"/>
      <c r="L246" s="565">
        <f t="shared" si="243"/>
        <v>0</v>
      </c>
      <c r="M246" s="688"/>
      <c r="N246" s="565">
        <f t="shared" si="232"/>
        <v>7.0610184366159957E-17</v>
      </c>
      <c r="O246" s="565">
        <f t="shared" si="244"/>
        <v>2</v>
      </c>
      <c r="P246" s="688"/>
      <c r="Q246" s="565">
        <f t="shared" si="238"/>
        <v>1.325E-2</v>
      </c>
      <c r="R246" s="565"/>
      <c r="S246" s="566"/>
      <c r="T246" s="685">
        <f t="shared" si="233"/>
        <v>0</v>
      </c>
      <c r="U246" s="685">
        <f t="shared" si="239"/>
        <v>0</v>
      </c>
      <c r="V246" s="685">
        <f t="shared" si="240"/>
        <v>0</v>
      </c>
      <c r="W246" s="684">
        <f t="shared" si="241"/>
        <v>7.0610184366159957E-17</v>
      </c>
      <c r="X246" s="682">
        <f t="shared" si="234"/>
        <v>0</v>
      </c>
      <c r="Y246" s="552"/>
      <c r="Z246" s="552"/>
      <c r="AA246" s="151"/>
    </row>
    <row r="247" spans="1:27" s="94" customFormat="1" x14ac:dyDescent="0.25">
      <c r="A247" s="95" t="s">
        <v>476</v>
      </c>
      <c r="B247" s="159"/>
      <c r="C247" s="565">
        <f t="shared" si="235"/>
        <v>0</v>
      </c>
      <c r="D247" s="159"/>
      <c r="E247" s="565">
        <f t="shared" si="236"/>
        <v>0</v>
      </c>
      <c r="F247" s="159"/>
      <c r="G247" s="565">
        <f t="shared" si="237"/>
        <v>0</v>
      </c>
      <c r="H247" s="548"/>
      <c r="I247" s="565">
        <f t="shared" si="242"/>
        <v>1.0658141036401503E-14</v>
      </c>
      <c r="J247" s="548"/>
      <c r="K247" s="688"/>
      <c r="L247" s="565">
        <f t="shared" si="243"/>
        <v>0</v>
      </c>
      <c r="M247" s="688"/>
      <c r="N247" s="565">
        <f t="shared" si="232"/>
        <v>7.0610184366159957E-17</v>
      </c>
      <c r="O247" s="565">
        <f t="shared" si="244"/>
        <v>2</v>
      </c>
      <c r="P247" s="688"/>
      <c r="Q247" s="565">
        <f t="shared" si="238"/>
        <v>1.325E-2</v>
      </c>
      <c r="R247" s="565"/>
      <c r="S247" s="566"/>
      <c r="T247" s="685">
        <f t="shared" si="233"/>
        <v>0</v>
      </c>
      <c r="U247" s="685">
        <f t="shared" si="239"/>
        <v>0</v>
      </c>
      <c r="V247" s="685">
        <f t="shared" si="240"/>
        <v>0</v>
      </c>
      <c r="W247" s="684">
        <f t="shared" si="241"/>
        <v>7.0610184366159957E-17</v>
      </c>
      <c r="X247" s="682">
        <f t="shared" si="234"/>
        <v>0</v>
      </c>
      <c r="Y247" s="552"/>
      <c r="Z247" s="552"/>
      <c r="AA247" s="151"/>
    </row>
    <row r="248" spans="1:27" s="94" customFormat="1" x14ac:dyDescent="0.25">
      <c r="A248" s="95" t="s">
        <v>477</v>
      </c>
      <c r="B248" s="159"/>
      <c r="C248" s="565">
        <f t="shared" si="235"/>
        <v>0</v>
      </c>
      <c r="D248" s="159"/>
      <c r="E248" s="565">
        <f t="shared" si="236"/>
        <v>0</v>
      </c>
      <c r="F248" s="159"/>
      <c r="G248" s="565">
        <f t="shared" si="237"/>
        <v>0</v>
      </c>
      <c r="H248" s="548"/>
      <c r="I248" s="565">
        <f t="shared" si="242"/>
        <v>1.0658141036401503E-14</v>
      </c>
      <c r="J248" s="548"/>
      <c r="K248" s="688"/>
      <c r="L248" s="565">
        <f t="shared" si="243"/>
        <v>0</v>
      </c>
      <c r="M248" s="688"/>
      <c r="N248" s="565">
        <f t="shared" si="232"/>
        <v>7.0610184366159957E-17</v>
      </c>
      <c r="O248" s="565">
        <f t="shared" si="244"/>
        <v>2</v>
      </c>
      <c r="P248" s="688"/>
      <c r="Q248" s="565">
        <f t="shared" si="238"/>
        <v>1.325E-2</v>
      </c>
      <c r="R248" s="565"/>
      <c r="S248" s="566"/>
      <c r="T248" s="685">
        <f t="shared" si="233"/>
        <v>0</v>
      </c>
      <c r="U248" s="685">
        <f t="shared" si="239"/>
        <v>0</v>
      </c>
      <c r="V248" s="685">
        <f t="shared" si="240"/>
        <v>0</v>
      </c>
      <c r="W248" s="684">
        <f t="shared" si="241"/>
        <v>7.0610184366159957E-17</v>
      </c>
      <c r="X248" s="682">
        <f t="shared" si="234"/>
        <v>0</v>
      </c>
      <c r="Y248" s="552"/>
      <c r="Z248" s="552"/>
      <c r="AA248" s="151"/>
    </row>
    <row r="249" spans="1:27" s="94" customFormat="1" x14ac:dyDescent="0.25">
      <c r="A249" s="95" t="s">
        <v>478</v>
      </c>
      <c r="B249" s="159"/>
      <c r="C249" s="565">
        <f t="shared" si="235"/>
        <v>0</v>
      </c>
      <c r="D249" s="159"/>
      <c r="E249" s="565">
        <f t="shared" si="236"/>
        <v>0</v>
      </c>
      <c r="F249" s="159"/>
      <c r="G249" s="565">
        <f t="shared" si="237"/>
        <v>0</v>
      </c>
      <c r="H249" s="548"/>
      <c r="I249" s="565">
        <f t="shared" si="242"/>
        <v>1.0658141036401503E-14</v>
      </c>
      <c r="J249" s="548"/>
      <c r="K249" s="688"/>
      <c r="L249" s="565">
        <f t="shared" si="243"/>
        <v>0</v>
      </c>
      <c r="M249" s="688"/>
      <c r="N249" s="565">
        <f t="shared" si="232"/>
        <v>7.0610184366159957E-17</v>
      </c>
      <c r="O249" s="565">
        <f t="shared" si="244"/>
        <v>2</v>
      </c>
      <c r="P249" s="688"/>
      <c r="Q249" s="565">
        <f t="shared" si="238"/>
        <v>1.325E-2</v>
      </c>
      <c r="R249" s="565"/>
      <c r="S249" s="566"/>
      <c r="T249" s="685">
        <f t="shared" si="233"/>
        <v>0</v>
      </c>
      <c r="U249" s="685">
        <f t="shared" si="239"/>
        <v>0</v>
      </c>
      <c r="V249" s="685">
        <f t="shared" si="240"/>
        <v>0</v>
      </c>
      <c r="W249" s="684">
        <f t="shared" si="241"/>
        <v>7.0610184366159957E-17</v>
      </c>
      <c r="X249" s="682">
        <f t="shared" si="234"/>
        <v>0</v>
      </c>
      <c r="Y249" s="552"/>
      <c r="Z249" s="552"/>
      <c r="AA249" s="151"/>
    </row>
    <row r="250" spans="1:27" s="94" customFormat="1" x14ac:dyDescent="0.25">
      <c r="A250" s="95" t="s">
        <v>479</v>
      </c>
      <c r="B250" s="159"/>
      <c r="C250" s="565">
        <f t="shared" si="235"/>
        <v>0</v>
      </c>
      <c r="D250" s="159"/>
      <c r="E250" s="565">
        <f t="shared" si="236"/>
        <v>0</v>
      </c>
      <c r="F250" s="159"/>
      <c r="G250" s="565">
        <f t="shared" si="237"/>
        <v>0</v>
      </c>
      <c r="H250" s="548"/>
      <c r="I250" s="565">
        <f t="shared" si="242"/>
        <v>1.0658141036401503E-14</v>
      </c>
      <c r="J250" s="548"/>
      <c r="K250" s="688"/>
      <c r="L250" s="565">
        <f t="shared" si="243"/>
        <v>0</v>
      </c>
      <c r="M250" s="688"/>
      <c r="N250" s="565">
        <f t="shared" si="232"/>
        <v>7.0610184366159957E-17</v>
      </c>
      <c r="O250" s="565">
        <f t="shared" si="244"/>
        <v>2</v>
      </c>
      <c r="P250" s="688"/>
      <c r="Q250" s="565">
        <f t="shared" si="238"/>
        <v>1.325E-2</v>
      </c>
      <c r="R250" s="565"/>
      <c r="S250" s="566"/>
      <c r="T250" s="685">
        <f t="shared" si="233"/>
        <v>0</v>
      </c>
      <c r="U250" s="685">
        <f t="shared" si="239"/>
        <v>0</v>
      </c>
      <c r="V250" s="685">
        <f t="shared" si="240"/>
        <v>0</v>
      </c>
      <c r="W250" s="684">
        <f t="shared" si="241"/>
        <v>7.0610184366159957E-17</v>
      </c>
      <c r="X250" s="682">
        <f t="shared" si="234"/>
        <v>0</v>
      </c>
      <c r="Y250" s="552"/>
      <c r="Z250" s="552"/>
      <c r="AA250" s="151"/>
    </row>
    <row r="251" spans="1:27" s="94" customFormat="1" x14ac:dyDescent="0.25">
      <c r="A251" s="95" t="s">
        <v>480</v>
      </c>
      <c r="B251" s="159"/>
      <c r="C251" s="565">
        <f t="shared" si="235"/>
        <v>0</v>
      </c>
      <c r="D251" s="159"/>
      <c r="E251" s="565">
        <f t="shared" si="236"/>
        <v>0</v>
      </c>
      <c r="F251" s="159"/>
      <c r="G251" s="565">
        <f t="shared" si="237"/>
        <v>0</v>
      </c>
      <c r="H251" s="548"/>
      <c r="I251" s="565">
        <f t="shared" si="242"/>
        <v>1.0658141036401503E-14</v>
      </c>
      <c r="J251" s="548"/>
      <c r="K251" s="688"/>
      <c r="L251" s="565">
        <f t="shared" si="243"/>
        <v>0</v>
      </c>
      <c r="M251" s="688"/>
      <c r="N251" s="565">
        <f t="shared" si="232"/>
        <v>7.0610184366159957E-17</v>
      </c>
      <c r="O251" s="565">
        <f t="shared" si="244"/>
        <v>2</v>
      </c>
      <c r="P251" s="688"/>
      <c r="Q251" s="565">
        <f t="shared" si="238"/>
        <v>1.325E-2</v>
      </c>
      <c r="R251" s="565"/>
      <c r="S251" s="566"/>
      <c r="T251" s="685">
        <f t="shared" si="233"/>
        <v>0</v>
      </c>
      <c r="U251" s="685">
        <f t="shared" si="239"/>
        <v>0</v>
      </c>
      <c r="V251" s="685">
        <f t="shared" si="240"/>
        <v>0</v>
      </c>
      <c r="W251" s="684">
        <f t="shared" si="241"/>
        <v>7.0610184366159957E-17</v>
      </c>
      <c r="X251" s="682">
        <f t="shared" si="234"/>
        <v>0</v>
      </c>
      <c r="Y251" s="552"/>
      <c r="Z251" s="552"/>
      <c r="AA251" s="151"/>
    </row>
    <row r="252" spans="1:27" s="94" customFormat="1" x14ac:dyDescent="0.25">
      <c r="A252" s="95" t="s">
        <v>481</v>
      </c>
      <c r="B252" s="159"/>
      <c r="C252" s="565">
        <f t="shared" si="235"/>
        <v>0</v>
      </c>
      <c r="D252" s="159"/>
      <c r="E252" s="565">
        <f t="shared" si="236"/>
        <v>0</v>
      </c>
      <c r="F252" s="159"/>
      <c r="G252" s="565">
        <f t="shared" si="237"/>
        <v>0</v>
      </c>
      <c r="H252" s="548"/>
      <c r="I252" s="565">
        <f t="shared" si="242"/>
        <v>1.0658141036401503E-14</v>
      </c>
      <c r="J252" s="548"/>
      <c r="K252" s="688"/>
      <c r="L252" s="565">
        <f t="shared" si="243"/>
        <v>0</v>
      </c>
      <c r="M252" s="688"/>
      <c r="N252" s="565">
        <f t="shared" si="232"/>
        <v>7.0610184366159957E-17</v>
      </c>
      <c r="O252" s="565">
        <f t="shared" si="244"/>
        <v>2</v>
      </c>
      <c r="P252" s="688"/>
      <c r="Q252" s="565">
        <f t="shared" si="238"/>
        <v>1.325E-2</v>
      </c>
      <c r="R252" s="565"/>
      <c r="S252" s="566"/>
      <c r="T252" s="685">
        <f t="shared" si="233"/>
        <v>0</v>
      </c>
      <c r="U252" s="685">
        <f t="shared" si="239"/>
        <v>0</v>
      </c>
      <c r="V252" s="685">
        <f t="shared" si="240"/>
        <v>0</v>
      </c>
      <c r="W252" s="684">
        <f t="shared" si="241"/>
        <v>7.0610184366159957E-17</v>
      </c>
      <c r="X252" s="682">
        <f t="shared" si="234"/>
        <v>0</v>
      </c>
      <c r="Y252" s="552"/>
      <c r="Z252" s="552"/>
      <c r="AA252" s="151"/>
    </row>
    <row r="253" spans="1:27" s="94" customFormat="1" x14ac:dyDescent="0.25">
      <c r="A253" s="95" t="s">
        <v>482</v>
      </c>
      <c r="B253" s="159"/>
      <c r="C253" s="565">
        <f t="shared" si="235"/>
        <v>0</v>
      </c>
      <c r="D253" s="159"/>
      <c r="E253" s="565">
        <f t="shared" si="236"/>
        <v>0</v>
      </c>
      <c r="F253" s="159"/>
      <c r="G253" s="565">
        <f t="shared" si="237"/>
        <v>0</v>
      </c>
      <c r="H253" s="548"/>
      <c r="I253" s="565">
        <f t="shared" si="242"/>
        <v>1.0658141036401503E-14</v>
      </c>
      <c r="J253" s="548"/>
      <c r="K253" s="688"/>
      <c r="L253" s="565">
        <f t="shared" si="243"/>
        <v>0</v>
      </c>
      <c r="M253" s="688"/>
      <c r="N253" s="565">
        <f t="shared" si="232"/>
        <v>7.0610184366159957E-17</v>
      </c>
      <c r="O253" s="565">
        <f t="shared" si="244"/>
        <v>2</v>
      </c>
      <c r="P253" s="688"/>
      <c r="Q253" s="565">
        <f t="shared" si="238"/>
        <v>1.325E-2</v>
      </c>
      <c r="R253" s="565"/>
      <c r="S253" s="566"/>
      <c r="T253" s="685">
        <f t="shared" si="233"/>
        <v>0</v>
      </c>
      <c r="U253" s="685">
        <f t="shared" si="239"/>
        <v>0</v>
      </c>
      <c r="V253" s="685">
        <f t="shared" si="240"/>
        <v>0</v>
      </c>
      <c r="W253" s="684">
        <f t="shared" si="241"/>
        <v>7.0610184366159957E-17</v>
      </c>
      <c r="X253" s="682">
        <f t="shared" si="234"/>
        <v>0</v>
      </c>
      <c r="Y253" s="552"/>
      <c r="Z253" s="552"/>
      <c r="AA253" s="151"/>
    </row>
    <row r="254" spans="1:27" s="220" customFormat="1" x14ac:dyDescent="0.25">
      <c r="A254" s="105" t="s">
        <v>483</v>
      </c>
      <c r="B254" s="159"/>
      <c r="C254" s="569">
        <f t="shared" si="235"/>
        <v>0</v>
      </c>
      <c r="D254" s="159"/>
      <c r="E254" s="569">
        <f t="shared" si="236"/>
        <v>0</v>
      </c>
      <c r="F254" s="159"/>
      <c r="G254" s="569">
        <f t="shared" si="237"/>
        <v>0</v>
      </c>
      <c r="H254" s="548"/>
      <c r="I254" s="569">
        <f t="shared" si="242"/>
        <v>1.0658141036401503E-14</v>
      </c>
      <c r="J254" s="548"/>
      <c r="K254" s="688"/>
      <c r="L254" s="569">
        <f t="shared" si="243"/>
        <v>0</v>
      </c>
      <c r="M254" s="690"/>
      <c r="N254" s="569">
        <f t="shared" si="232"/>
        <v>7.0610184366159957E-17</v>
      </c>
      <c r="O254" s="569">
        <f t="shared" si="244"/>
        <v>2</v>
      </c>
      <c r="P254" s="690"/>
      <c r="Q254" s="569">
        <f t="shared" si="238"/>
        <v>1.325E-2</v>
      </c>
      <c r="R254" s="569"/>
      <c r="S254" s="569"/>
      <c r="T254" s="686">
        <f t="shared" si="233"/>
        <v>0</v>
      </c>
      <c r="U254" s="686">
        <f t="shared" si="239"/>
        <v>0</v>
      </c>
      <c r="V254" s="686">
        <f t="shared" si="240"/>
        <v>0</v>
      </c>
      <c r="W254" s="687">
        <f t="shared" si="241"/>
        <v>7.0610184366159957E-17</v>
      </c>
      <c r="X254" s="683">
        <f t="shared" si="234"/>
        <v>0</v>
      </c>
      <c r="Y254" s="571"/>
      <c r="Z254" s="571"/>
      <c r="AA254" s="219"/>
    </row>
    <row r="255" spans="1:27" s="94" customFormat="1" x14ac:dyDescent="0.25">
      <c r="A255" s="567" t="s">
        <v>258</v>
      </c>
      <c r="B255" s="566">
        <f>SUM(B243:B254)</f>
        <v>0</v>
      </c>
      <c r="C255" s="565"/>
      <c r="D255" s="566">
        <f>SUM(D243:D254)</f>
        <v>0</v>
      </c>
      <c r="E255" s="565"/>
      <c r="F255" s="566">
        <f>SUM(F243:F254)</f>
        <v>0</v>
      </c>
      <c r="G255" s="565"/>
      <c r="H255" s="566">
        <f>SUM(H243:H254)</f>
        <v>0</v>
      </c>
      <c r="I255" s="565"/>
      <c r="J255" s="566">
        <f>SUM(J243:J254)</f>
        <v>0</v>
      </c>
      <c r="K255" s="566">
        <f>SUM(K243:K254)</f>
        <v>0</v>
      </c>
      <c r="L255" s="565"/>
      <c r="M255" s="566">
        <f>SUM(M243:M254)</f>
        <v>0</v>
      </c>
      <c r="N255" s="566">
        <f>SUM(N243:N254)</f>
        <v>8.4732221239391953E-16</v>
      </c>
      <c r="O255" s="565"/>
      <c r="P255" s="566">
        <f>SUM(P243:P254)</f>
        <v>0</v>
      </c>
      <c r="Q255" s="566">
        <f>SUM(Q243:Q254)</f>
        <v>0.15900000000000003</v>
      </c>
      <c r="R255" s="566"/>
      <c r="S255" s="566">
        <f>N255+Q255</f>
        <v>0.15900000000000089</v>
      </c>
      <c r="T255" s="566">
        <f>SUM(T243:T254)</f>
        <v>0</v>
      </c>
      <c r="U255" s="566">
        <f>SUM(U243:U254)</f>
        <v>0</v>
      </c>
      <c r="V255" s="566">
        <f>SUM(V243:V254)</f>
        <v>0</v>
      </c>
      <c r="W255" s="566">
        <f>SUM(W243:W254)</f>
        <v>8.4732221239391953E-16</v>
      </c>
      <c r="X255" s="566">
        <f>SUM(X243:X254)</f>
        <v>0</v>
      </c>
      <c r="Y255" s="552"/>
      <c r="Z255" s="552"/>
      <c r="AA255" s="151"/>
    </row>
    <row r="256" spans="1:27" s="94" customFormat="1" x14ac:dyDescent="0.25">
      <c r="A256" s="106">
        <f>'Oper.St.'!T11</f>
        <v>2037</v>
      </c>
      <c r="B256" s="1011">
        <f t="shared" ref="B256:I256" si="245">A256</f>
        <v>2037</v>
      </c>
      <c r="C256" s="1011">
        <f t="shared" si="245"/>
        <v>2037</v>
      </c>
      <c r="D256" s="1011">
        <f t="shared" si="245"/>
        <v>2037</v>
      </c>
      <c r="E256" s="1011">
        <f t="shared" si="245"/>
        <v>2037</v>
      </c>
      <c r="F256" s="1011">
        <f t="shared" si="245"/>
        <v>2037</v>
      </c>
      <c r="G256" s="1011">
        <f t="shared" si="245"/>
        <v>2037</v>
      </c>
      <c r="H256" s="1011">
        <f t="shared" si="245"/>
        <v>2037</v>
      </c>
      <c r="I256" s="1011">
        <f t="shared" si="245"/>
        <v>2037</v>
      </c>
      <c r="J256" s="1011"/>
      <c r="K256" s="1011">
        <f>I256</f>
        <v>2037</v>
      </c>
      <c r="L256" s="1011">
        <f>K256</f>
        <v>2037</v>
      </c>
      <c r="M256" s="1011">
        <f>L256</f>
        <v>2037</v>
      </c>
      <c r="N256" s="1011">
        <f>M256</f>
        <v>2037</v>
      </c>
      <c r="O256" s="1011">
        <f>N256</f>
        <v>2037</v>
      </c>
      <c r="P256" s="1011">
        <f>O256</f>
        <v>2037</v>
      </c>
      <c r="Q256" s="1011">
        <f>O256</f>
        <v>2037</v>
      </c>
      <c r="R256" s="1011">
        <f t="shared" ref="R256:X256" si="246">Q256</f>
        <v>2037</v>
      </c>
      <c r="S256" s="1011">
        <f t="shared" si="246"/>
        <v>2037</v>
      </c>
      <c r="T256" s="1011">
        <f t="shared" si="246"/>
        <v>2037</v>
      </c>
      <c r="U256" s="1011">
        <f t="shared" si="246"/>
        <v>2037</v>
      </c>
      <c r="V256" s="1011">
        <f t="shared" si="246"/>
        <v>2037</v>
      </c>
      <c r="W256" s="1011">
        <f t="shared" si="246"/>
        <v>2037</v>
      </c>
      <c r="X256" s="1011">
        <f t="shared" si="246"/>
        <v>2037</v>
      </c>
      <c r="Y256" s="552"/>
      <c r="Z256" s="552"/>
      <c r="AA256" s="151"/>
    </row>
    <row r="257" spans="1:27" s="94" customFormat="1" x14ac:dyDescent="0.25">
      <c r="A257" s="95" t="s">
        <v>472</v>
      </c>
      <c r="B257" s="159"/>
      <c r="C257" s="569">
        <f>C254-B254</f>
        <v>0</v>
      </c>
      <c r="D257" s="159"/>
      <c r="E257" s="565">
        <f>E254-D254</f>
        <v>0</v>
      </c>
      <c r="F257" s="159"/>
      <c r="G257" s="565">
        <f>G254-F254</f>
        <v>0</v>
      </c>
      <c r="H257" s="548"/>
      <c r="I257" s="565">
        <f>I254-H254+J257</f>
        <v>1.0658141036401503E-14</v>
      </c>
      <c r="J257" s="548"/>
      <c r="K257" s="688"/>
      <c r="L257" s="565">
        <f>L254-K254+M257</f>
        <v>0</v>
      </c>
      <c r="M257" s="688"/>
      <c r="N257" s="565">
        <f t="shared" ref="N257:N268" si="247">T257+U257+V257+W257+X257</f>
        <v>7.0610184366159957E-17</v>
      </c>
      <c r="O257" s="565">
        <f>O253+P257</f>
        <v>2</v>
      </c>
      <c r="P257" s="688"/>
      <c r="Q257" s="565">
        <f>O257*$Q$16/100/12*$R$16/100</f>
        <v>1.325E-2</v>
      </c>
      <c r="R257" s="565"/>
      <c r="S257" s="566"/>
      <c r="T257" s="685">
        <f t="shared" ref="T257:T268" si="248">C257*$C$17/100/12</f>
        <v>0</v>
      </c>
      <c r="U257" s="685">
        <f>E257*$E$17/100/12</f>
        <v>0</v>
      </c>
      <c r="V257" s="685">
        <f>G257*$G$17/100/12</f>
        <v>0</v>
      </c>
      <c r="W257" s="684">
        <f>I257*$I$17/100/12</f>
        <v>7.0610184366159957E-17</v>
      </c>
      <c r="X257" s="682">
        <f t="shared" ref="X257:X268" si="249">L257*$L$17/100/12</f>
        <v>0</v>
      </c>
      <c r="Y257" s="552"/>
      <c r="Z257" s="552"/>
      <c r="AA257" s="151"/>
    </row>
    <row r="258" spans="1:27" s="94" customFormat="1" x14ac:dyDescent="0.25">
      <c r="A258" s="95" t="s">
        <v>473</v>
      </c>
      <c r="B258" s="159"/>
      <c r="C258" s="565">
        <f t="shared" ref="C258:C268" si="250">C257-B257</f>
        <v>0</v>
      </c>
      <c r="D258" s="159"/>
      <c r="E258" s="565">
        <f t="shared" ref="E258:E268" si="251">E257-D257</f>
        <v>0</v>
      </c>
      <c r="F258" s="159"/>
      <c r="G258" s="565">
        <f t="shared" ref="G258:G268" si="252">G257-F257</f>
        <v>0</v>
      </c>
      <c r="H258" s="548"/>
      <c r="I258" s="565">
        <f>I257-H257+J258</f>
        <v>1.0658141036401503E-14</v>
      </c>
      <c r="J258" s="548"/>
      <c r="K258" s="688"/>
      <c r="L258" s="565">
        <f>L257-K257+M258</f>
        <v>0</v>
      </c>
      <c r="M258" s="688"/>
      <c r="N258" s="565">
        <f t="shared" si="247"/>
        <v>7.0610184366159957E-17</v>
      </c>
      <c r="O258" s="565">
        <f>O257+P258</f>
        <v>2</v>
      </c>
      <c r="P258" s="688"/>
      <c r="Q258" s="565">
        <f t="shared" ref="Q258:Q268" si="253">O258*$Q$16/100/12*$R$16/100</f>
        <v>1.325E-2</v>
      </c>
      <c r="R258" s="565"/>
      <c r="S258" s="566"/>
      <c r="T258" s="685">
        <f t="shared" si="248"/>
        <v>0</v>
      </c>
      <c r="U258" s="685">
        <f t="shared" ref="U258:U268" si="254">E258*$E$17/100/12</f>
        <v>0</v>
      </c>
      <c r="V258" s="685">
        <f t="shared" ref="V258:V268" si="255">G258*$G$17/100/12</f>
        <v>0</v>
      </c>
      <c r="W258" s="684">
        <f t="shared" ref="W258:W268" si="256">I258*$I$17/100/12</f>
        <v>7.0610184366159957E-17</v>
      </c>
      <c r="X258" s="682">
        <f t="shared" si="249"/>
        <v>0</v>
      </c>
      <c r="Y258" s="552"/>
      <c r="Z258" s="552"/>
      <c r="AA258" s="151"/>
    </row>
    <row r="259" spans="1:27" s="94" customFormat="1" x14ac:dyDescent="0.25">
      <c r="A259" s="95" t="s">
        <v>474</v>
      </c>
      <c r="B259" s="159"/>
      <c r="C259" s="565">
        <f t="shared" si="250"/>
        <v>0</v>
      </c>
      <c r="D259" s="159"/>
      <c r="E259" s="565">
        <f t="shared" si="251"/>
        <v>0</v>
      </c>
      <c r="F259" s="159"/>
      <c r="G259" s="565">
        <f t="shared" si="252"/>
        <v>0</v>
      </c>
      <c r="H259" s="548"/>
      <c r="I259" s="565">
        <f t="shared" ref="I259:I268" si="257">I258-H258+J259</f>
        <v>1.0658141036401503E-14</v>
      </c>
      <c r="J259" s="548"/>
      <c r="K259" s="688"/>
      <c r="L259" s="565">
        <f t="shared" ref="L259:L268" si="258">L258-K258+M259</f>
        <v>0</v>
      </c>
      <c r="M259" s="688"/>
      <c r="N259" s="565">
        <f t="shared" si="247"/>
        <v>7.0610184366159957E-17</v>
      </c>
      <c r="O259" s="565">
        <f t="shared" ref="O259:O268" si="259">O258+P259</f>
        <v>2</v>
      </c>
      <c r="P259" s="688"/>
      <c r="Q259" s="565">
        <f t="shared" si="253"/>
        <v>1.325E-2</v>
      </c>
      <c r="R259" s="565"/>
      <c r="S259" s="566"/>
      <c r="T259" s="685">
        <f t="shared" si="248"/>
        <v>0</v>
      </c>
      <c r="U259" s="685">
        <f t="shared" si="254"/>
        <v>0</v>
      </c>
      <c r="V259" s="685">
        <f t="shared" si="255"/>
        <v>0</v>
      </c>
      <c r="W259" s="684">
        <f t="shared" si="256"/>
        <v>7.0610184366159957E-17</v>
      </c>
      <c r="X259" s="682">
        <f t="shared" si="249"/>
        <v>0</v>
      </c>
      <c r="Y259" s="552"/>
      <c r="Z259" s="552"/>
      <c r="AA259" s="151"/>
    </row>
    <row r="260" spans="1:27" s="94" customFormat="1" x14ac:dyDescent="0.25">
      <c r="A260" s="95" t="s">
        <v>475</v>
      </c>
      <c r="B260" s="159"/>
      <c r="C260" s="565">
        <f t="shared" si="250"/>
        <v>0</v>
      </c>
      <c r="D260" s="159"/>
      <c r="E260" s="565">
        <f t="shared" si="251"/>
        <v>0</v>
      </c>
      <c r="F260" s="159"/>
      <c r="G260" s="565">
        <f t="shared" si="252"/>
        <v>0</v>
      </c>
      <c r="H260" s="548"/>
      <c r="I260" s="565">
        <f t="shared" si="257"/>
        <v>1.0658141036401503E-14</v>
      </c>
      <c r="J260" s="548"/>
      <c r="K260" s="688"/>
      <c r="L260" s="565">
        <f t="shared" si="258"/>
        <v>0</v>
      </c>
      <c r="M260" s="688"/>
      <c r="N260" s="565">
        <f t="shared" si="247"/>
        <v>7.0610184366159957E-17</v>
      </c>
      <c r="O260" s="565">
        <f t="shared" si="259"/>
        <v>2</v>
      </c>
      <c r="P260" s="688"/>
      <c r="Q260" s="565">
        <f t="shared" si="253"/>
        <v>1.325E-2</v>
      </c>
      <c r="R260" s="565"/>
      <c r="S260" s="566"/>
      <c r="T260" s="685">
        <f t="shared" si="248"/>
        <v>0</v>
      </c>
      <c r="U260" s="685">
        <f t="shared" si="254"/>
        <v>0</v>
      </c>
      <c r="V260" s="685">
        <f t="shared" si="255"/>
        <v>0</v>
      </c>
      <c r="W260" s="684">
        <f t="shared" si="256"/>
        <v>7.0610184366159957E-17</v>
      </c>
      <c r="X260" s="682">
        <f t="shared" si="249"/>
        <v>0</v>
      </c>
      <c r="Y260" s="552"/>
      <c r="Z260" s="552"/>
      <c r="AA260" s="151"/>
    </row>
    <row r="261" spans="1:27" s="94" customFormat="1" x14ac:dyDescent="0.25">
      <c r="A261" s="95" t="s">
        <v>476</v>
      </c>
      <c r="B261" s="159"/>
      <c r="C261" s="565">
        <f t="shared" si="250"/>
        <v>0</v>
      </c>
      <c r="D261" s="159"/>
      <c r="E261" s="565">
        <f t="shared" si="251"/>
        <v>0</v>
      </c>
      <c r="F261" s="159"/>
      <c r="G261" s="565">
        <f t="shared" si="252"/>
        <v>0</v>
      </c>
      <c r="H261" s="548"/>
      <c r="I261" s="565">
        <f t="shared" si="257"/>
        <v>1.0658141036401503E-14</v>
      </c>
      <c r="J261" s="548"/>
      <c r="K261" s="688"/>
      <c r="L261" s="565">
        <f t="shared" si="258"/>
        <v>0</v>
      </c>
      <c r="M261" s="688"/>
      <c r="N261" s="565">
        <f t="shared" si="247"/>
        <v>7.0610184366159957E-17</v>
      </c>
      <c r="O261" s="565">
        <f t="shared" si="259"/>
        <v>2</v>
      </c>
      <c r="P261" s="688"/>
      <c r="Q261" s="565">
        <f t="shared" si="253"/>
        <v>1.325E-2</v>
      </c>
      <c r="R261" s="565"/>
      <c r="S261" s="566"/>
      <c r="T261" s="685">
        <f t="shared" si="248"/>
        <v>0</v>
      </c>
      <c r="U261" s="685">
        <f t="shared" si="254"/>
        <v>0</v>
      </c>
      <c r="V261" s="685">
        <f t="shared" si="255"/>
        <v>0</v>
      </c>
      <c r="W261" s="684">
        <f t="shared" si="256"/>
        <v>7.0610184366159957E-17</v>
      </c>
      <c r="X261" s="682">
        <f t="shared" si="249"/>
        <v>0</v>
      </c>
      <c r="Y261" s="552"/>
      <c r="Z261" s="552"/>
      <c r="AA261" s="151"/>
    </row>
    <row r="262" spans="1:27" s="94" customFormat="1" x14ac:dyDescent="0.25">
      <c r="A262" s="95" t="s">
        <v>477</v>
      </c>
      <c r="B262" s="159"/>
      <c r="C262" s="565">
        <f t="shared" si="250"/>
        <v>0</v>
      </c>
      <c r="D262" s="159"/>
      <c r="E262" s="565">
        <f t="shared" si="251"/>
        <v>0</v>
      </c>
      <c r="F262" s="159"/>
      <c r="G262" s="565">
        <f t="shared" si="252"/>
        <v>0</v>
      </c>
      <c r="H262" s="548"/>
      <c r="I262" s="565">
        <f t="shared" si="257"/>
        <v>1.0658141036401503E-14</v>
      </c>
      <c r="J262" s="548"/>
      <c r="K262" s="688"/>
      <c r="L262" s="565">
        <f t="shared" si="258"/>
        <v>0</v>
      </c>
      <c r="M262" s="688"/>
      <c r="N262" s="565">
        <f t="shared" si="247"/>
        <v>7.0610184366159957E-17</v>
      </c>
      <c r="O262" s="565">
        <f t="shared" si="259"/>
        <v>2</v>
      </c>
      <c r="P262" s="688"/>
      <c r="Q262" s="565">
        <f t="shared" si="253"/>
        <v>1.325E-2</v>
      </c>
      <c r="R262" s="565"/>
      <c r="S262" s="566"/>
      <c r="T262" s="685">
        <f t="shared" si="248"/>
        <v>0</v>
      </c>
      <c r="U262" s="685">
        <f t="shared" si="254"/>
        <v>0</v>
      </c>
      <c r="V262" s="685">
        <f t="shared" si="255"/>
        <v>0</v>
      </c>
      <c r="W262" s="684">
        <f t="shared" si="256"/>
        <v>7.0610184366159957E-17</v>
      </c>
      <c r="X262" s="682">
        <f t="shared" si="249"/>
        <v>0</v>
      </c>
      <c r="Y262" s="552"/>
      <c r="Z262" s="552"/>
      <c r="AA262" s="151"/>
    </row>
    <row r="263" spans="1:27" s="94" customFormat="1" x14ac:dyDescent="0.25">
      <c r="A263" s="95" t="s">
        <v>478</v>
      </c>
      <c r="B263" s="159"/>
      <c r="C263" s="565">
        <f t="shared" si="250"/>
        <v>0</v>
      </c>
      <c r="D263" s="159"/>
      <c r="E263" s="565">
        <f t="shared" si="251"/>
        <v>0</v>
      </c>
      <c r="F263" s="159"/>
      <c r="G263" s="565">
        <f t="shared" si="252"/>
        <v>0</v>
      </c>
      <c r="H263" s="548"/>
      <c r="I263" s="565">
        <f t="shared" si="257"/>
        <v>1.0658141036401503E-14</v>
      </c>
      <c r="J263" s="548"/>
      <c r="K263" s="688"/>
      <c r="L263" s="565">
        <f t="shared" si="258"/>
        <v>0</v>
      </c>
      <c r="M263" s="688"/>
      <c r="N263" s="565">
        <f t="shared" si="247"/>
        <v>7.0610184366159957E-17</v>
      </c>
      <c r="O263" s="565">
        <f t="shared" si="259"/>
        <v>2</v>
      </c>
      <c r="P263" s="688"/>
      <c r="Q263" s="565">
        <f t="shared" si="253"/>
        <v>1.325E-2</v>
      </c>
      <c r="R263" s="565"/>
      <c r="S263" s="566"/>
      <c r="T263" s="685">
        <f t="shared" si="248"/>
        <v>0</v>
      </c>
      <c r="U263" s="685">
        <f t="shared" si="254"/>
        <v>0</v>
      </c>
      <c r="V263" s="685">
        <f t="shared" si="255"/>
        <v>0</v>
      </c>
      <c r="W263" s="684">
        <f t="shared" si="256"/>
        <v>7.0610184366159957E-17</v>
      </c>
      <c r="X263" s="682">
        <f t="shared" si="249"/>
        <v>0</v>
      </c>
      <c r="Y263" s="552"/>
      <c r="Z263" s="552"/>
      <c r="AA263" s="151"/>
    </row>
    <row r="264" spans="1:27" s="94" customFormat="1" x14ac:dyDescent="0.25">
      <c r="A264" s="95" t="s">
        <v>479</v>
      </c>
      <c r="B264" s="159"/>
      <c r="C264" s="565">
        <f t="shared" si="250"/>
        <v>0</v>
      </c>
      <c r="D264" s="159"/>
      <c r="E264" s="565">
        <f t="shared" si="251"/>
        <v>0</v>
      </c>
      <c r="F264" s="159"/>
      <c r="G264" s="565">
        <f t="shared" si="252"/>
        <v>0</v>
      </c>
      <c r="H264" s="548"/>
      <c r="I264" s="565">
        <f t="shared" si="257"/>
        <v>1.0658141036401503E-14</v>
      </c>
      <c r="J264" s="548"/>
      <c r="K264" s="688"/>
      <c r="L264" s="565">
        <f t="shared" si="258"/>
        <v>0</v>
      </c>
      <c r="M264" s="688"/>
      <c r="N264" s="565">
        <f t="shared" si="247"/>
        <v>7.0610184366159957E-17</v>
      </c>
      <c r="O264" s="565">
        <f t="shared" si="259"/>
        <v>2</v>
      </c>
      <c r="P264" s="688"/>
      <c r="Q264" s="565">
        <f t="shared" si="253"/>
        <v>1.325E-2</v>
      </c>
      <c r="R264" s="565"/>
      <c r="S264" s="566"/>
      <c r="T264" s="685">
        <f t="shared" si="248"/>
        <v>0</v>
      </c>
      <c r="U264" s="685">
        <f t="shared" si="254"/>
        <v>0</v>
      </c>
      <c r="V264" s="685">
        <f t="shared" si="255"/>
        <v>0</v>
      </c>
      <c r="W264" s="684">
        <f t="shared" si="256"/>
        <v>7.0610184366159957E-17</v>
      </c>
      <c r="X264" s="682">
        <f t="shared" si="249"/>
        <v>0</v>
      </c>
      <c r="Y264" s="552"/>
      <c r="Z264" s="552"/>
      <c r="AA264" s="151"/>
    </row>
    <row r="265" spans="1:27" s="94" customFormat="1" x14ac:dyDescent="0.25">
      <c r="A265" s="95" t="s">
        <v>480</v>
      </c>
      <c r="B265" s="159"/>
      <c r="C265" s="565">
        <f t="shared" si="250"/>
        <v>0</v>
      </c>
      <c r="D265" s="159"/>
      <c r="E265" s="565">
        <f t="shared" si="251"/>
        <v>0</v>
      </c>
      <c r="F265" s="159"/>
      <c r="G265" s="565">
        <f t="shared" si="252"/>
        <v>0</v>
      </c>
      <c r="H265" s="548"/>
      <c r="I265" s="565">
        <f t="shared" si="257"/>
        <v>1.0658141036401503E-14</v>
      </c>
      <c r="J265" s="548"/>
      <c r="K265" s="688"/>
      <c r="L265" s="565">
        <f t="shared" si="258"/>
        <v>0</v>
      </c>
      <c r="M265" s="688"/>
      <c r="N265" s="565">
        <f t="shared" si="247"/>
        <v>7.0610184366159957E-17</v>
      </c>
      <c r="O265" s="565">
        <f t="shared" si="259"/>
        <v>2</v>
      </c>
      <c r="P265" s="688"/>
      <c r="Q265" s="565">
        <f t="shared" si="253"/>
        <v>1.325E-2</v>
      </c>
      <c r="R265" s="565"/>
      <c r="S265" s="566"/>
      <c r="T265" s="685">
        <f t="shared" si="248"/>
        <v>0</v>
      </c>
      <c r="U265" s="685">
        <f t="shared" si="254"/>
        <v>0</v>
      </c>
      <c r="V265" s="685">
        <f t="shared" si="255"/>
        <v>0</v>
      </c>
      <c r="W265" s="684">
        <f t="shared" si="256"/>
        <v>7.0610184366159957E-17</v>
      </c>
      <c r="X265" s="682">
        <f t="shared" si="249"/>
        <v>0</v>
      </c>
      <c r="Y265" s="552"/>
      <c r="Z265" s="552"/>
      <c r="AA265" s="151"/>
    </row>
    <row r="266" spans="1:27" s="94" customFormat="1" x14ac:dyDescent="0.25">
      <c r="A266" s="95" t="s">
        <v>481</v>
      </c>
      <c r="B266" s="159"/>
      <c r="C266" s="565">
        <f t="shared" si="250"/>
        <v>0</v>
      </c>
      <c r="D266" s="159"/>
      <c r="E266" s="565">
        <f t="shared" si="251"/>
        <v>0</v>
      </c>
      <c r="F266" s="159"/>
      <c r="G266" s="565">
        <f t="shared" si="252"/>
        <v>0</v>
      </c>
      <c r="H266" s="548"/>
      <c r="I266" s="565">
        <f t="shared" si="257"/>
        <v>1.0658141036401503E-14</v>
      </c>
      <c r="J266" s="548"/>
      <c r="K266" s="688"/>
      <c r="L266" s="565">
        <f t="shared" si="258"/>
        <v>0</v>
      </c>
      <c r="M266" s="688"/>
      <c r="N266" s="565">
        <f t="shared" si="247"/>
        <v>7.0610184366159957E-17</v>
      </c>
      <c r="O266" s="565">
        <f t="shared" si="259"/>
        <v>2</v>
      </c>
      <c r="P266" s="688"/>
      <c r="Q266" s="565">
        <f t="shared" si="253"/>
        <v>1.325E-2</v>
      </c>
      <c r="R266" s="565"/>
      <c r="S266" s="566"/>
      <c r="T266" s="685">
        <f t="shared" si="248"/>
        <v>0</v>
      </c>
      <c r="U266" s="685">
        <f t="shared" si="254"/>
        <v>0</v>
      </c>
      <c r="V266" s="685">
        <f t="shared" si="255"/>
        <v>0</v>
      </c>
      <c r="W266" s="684">
        <f t="shared" si="256"/>
        <v>7.0610184366159957E-17</v>
      </c>
      <c r="X266" s="682">
        <f t="shared" si="249"/>
        <v>0</v>
      </c>
      <c r="Y266" s="552"/>
      <c r="Z266" s="552"/>
      <c r="AA266" s="151"/>
    </row>
    <row r="267" spans="1:27" s="94" customFormat="1" x14ac:dyDescent="0.25">
      <c r="A267" s="95" t="s">
        <v>482</v>
      </c>
      <c r="B267" s="159"/>
      <c r="C267" s="565">
        <f t="shared" si="250"/>
        <v>0</v>
      </c>
      <c r="D267" s="159"/>
      <c r="E267" s="565">
        <f t="shared" si="251"/>
        <v>0</v>
      </c>
      <c r="F267" s="159"/>
      <c r="G267" s="565">
        <f t="shared" si="252"/>
        <v>0</v>
      </c>
      <c r="H267" s="548"/>
      <c r="I267" s="565">
        <f t="shared" si="257"/>
        <v>1.0658141036401503E-14</v>
      </c>
      <c r="J267" s="548"/>
      <c r="K267" s="688"/>
      <c r="L267" s="565">
        <f t="shared" si="258"/>
        <v>0</v>
      </c>
      <c r="M267" s="688"/>
      <c r="N267" s="565">
        <f t="shared" si="247"/>
        <v>7.0610184366159957E-17</v>
      </c>
      <c r="O267" s="565">
        <f t="shared" si="259"/>
        <v>2</v>
      </c>
      <c r="P267" s="688"/>
      <c r="Q267" s="565">
        <f t="shared" si="253"/>
        <v>1.325E-2</v>
      </c>
      <c r="R267" s="565"/>
      <c r="S267" s="566"/>
      <c r="T267" s="685">
        <f t="shared" si="248"/>
        <v>0</v>
      </c>
      <c r="U267" s="685">
        <f t="shared" si="254"/>
        <v>0</v>
      </c>
      <c r="V267" s="685">
        <f t="shared" si="255"/>
        <v>0</v>
      </c>
      <c r="W267" s="684">
        <f t="shared" si="256"/>
        <v>7.0610184366159957E-17</v>
      </c>
      <c r="X267" s="682">
        <f t="shared" si="249"/>
        <v>0</v>
      </c>
      <c r="Y267" s="552"/>
      <c r="Z267" s="552"/>
      <c r="AA267" s="151"/>
    </row>
    <row r="268" spans="1:27" s="220" customFormat="1" x14ac:dyDescent="0.25">
      <c r="A268" s="105" t="s">
        <v>483</v>
      </c>
      <c r="B268" s="159"/>
      <c r="C268" s="569">
        <f t="shared" si="250"/>
        <v>0</v>
      </c>
      <c r="D268" s="159"/>
      <c r="E268" s="569">
        <f t="shared" si="251"/>
        <v>0</v>
      </c>
      <c r="F268" s="159"/>
      <c r="G268" s="569">
        <f t="shared" si="252"/>
        <v>0</v>
      </c>
      <c r="H268" s="548"/>
      <c r="I268" s="569">
        <f t="shared" si="257"/>
        <v>1.0658141036401503E-14</v>
      </c>
      <c r="J268" s="548"/>
      <c r="K268" s="688"/>
      <c r="L268" s="569">
        <f t="shared" si="258"/>
        <v>0</v>
      </c>
      <c r="M268" s="690"/>
      <c r="N268" s="569">
        <f t="shared" si="247"/>
        <v>7.0610184366159957E-17</v>
      </c>
      <c r="O268" s="569">
        <f t="shared" si="259"/>
        <v>2</v>
      </c>
      <c r="P268" s="690"/>
      <c r="Q268" s="569">
        <f t="shared" si="253"/>
        <v>1.325E-2</v>
      </c>
      <c r="R268" s="569"/>
      <c r="S268" s="569"/>
      <c r="T268" s="686">
        <f t="shared" si="248"/>
        <v>0</v>
      </c>
      <c r="U268" s="686">
        <f t="shared" si="254"/>
        <v>0</v>
      </c>
      <c r="V268" s="686">
        <f t="shared" si="255"/>
        <v>0</v>
      </c>
      <c r="W268" s="687">
        <f t="shared" si="256"/>
        <v>7.0610184366159957E-17</v>
      </c>
      <c r="X268" s="683">
        <f t="shared" si="249"/>
        <v>0</v>
      </c>
      <c r="Y268" s="571"/>
      <c r="Z268" s="571"/>
      <c r="AA268" s="219"/>
    </row>
    <row r="269" spans="1:27" s="94" customFormat="1" x14ac:dyDescent="0.25">
      <c r="A269" s="567" t="s">
        <v>258</v>
      </c>
      <c r="B269" s="566">
        <f>SUM(B257:B268)</f>
        <v>0</v>
      </c>
      <c r="C269" s="565"/>
      <c r="D269" s="566">
        <f>SUM(D257:D268)</f>
        <v>0</v>
      </c>
      <c r="E269" s="565"/>
      <c r="F269" s="566">
        <f>SUM(F257:F268)</f>
        <v>0</v>
      </c>
      <c r="G269" s="565"/>
      <c r="H269" s="566">
        <f>SUM(H257:H268)</f>
        <v>0</v>
      </c>
      <c r="I269" s="565"/>
      <c r="J269" s="566">
        <f>SUM(J257:J268)</f>
        <v>0</v>
      </c>
      <c r="K269" s="566">
        <f>SUM(K257:K268)</f>
        <v>0</v>
      </c>
      <c r="L269" s="565"/>
      <c r="M269" s="566">
        <f>SUM(M257:M268)</f>
        <v>0</v>
      </c>
      <c r="N269" s="566">
        <f>SUM(N257:N268)</f>
        <v>8.4732221239391953E-16</v>
      </c>
      <c r="O269" s="565"/>
      <c r="P269" s="566">
        <f>SUM(P257:P268)</f>
        <v>0</v>
      </c>
      <c r="Q269" s="566">
        <f>SUM(Q257:Q268)</f>
        <v>0.15900000000000003</v>
      </c>
      <c r="R269" s="566"/>
      <c r="S269" s="566">
        <f>N269+Q269</f>
        <v>0.15900000000000089</v>
      </c>
      <c r="T269" s="566">
        <f>SUM(T257:T268)</f>
        <v>0</v>
      </c>
      <c r="U269" s="566">
        <f>SUM(U257:U268)</f>
        <v>0</v>
      </c>
      <c r="V269" s="566">
        <f>SUM(V257:V268)</f>
        <v>0</v>
      </c>
      <c r="W269" s="566">
        <f>SUM(W257:W268)</f>
        <v>8.4732221239391953E-16</v>
      </c>
      <c r="X269" s="566">
        <f>SUM(X257:X268)</f>
        <v>0</v>
      </c>
      <c r="Y269" s="552"/>
      <c r="Z269" s="552"/>
      <c r="AA269" s="151"/>
    </row>
    <row r="270" spans="1:27" s="94" customFormat="1" x14ac:dyDescent="0.25">
      <c r="A270" s="106">
        <f>'Oper.St.'!U11</f>
        <v>2038</v>
      </c>
      <c r="B270" s="1011">
        <f t="shared" ref="B270:I270" si="260">A270</f>
        <v>2038</v>
      </c>
      <c r="C270" s="1011">
        <f t="shared" si="260"/>
        <v>2038</v>
      </c>
      <c r="D270" s="1011">
        <f t="shared" si="260"/>
        <v>2038</v>
      </c>
      <c r="E270" s="1011">
        <f t="shared" si="260"/>
        <v>2038</v>
      </c>
      <c r="F270" s="1011">
        <f t="shared" si="260"/>
        <v>2038</v>
      </c>
      <c r="G270" s="1011">
        <f t="shared" si="260"/>
        <v>2038</v>
      </c>
      <c r="H270" s="1011">
        <f t="shared" si="260"/>
        <v>2038</v>
      </c>
      <c r="I270" s="1011">
        <f t="shared" si="260"/>
        <v>2038</v>
      </c>
      <c r="J270" s="1011"/>
      <c r="K270" s="1011">
        <f>I270</f>
        <v>2038</v>
      </c>
      <c r="L270" s="1011">
        <f>K270</f>
        <v>2038</v>
      </c>
      <c r="M270" s="1011">
        <f>L270</f>
        <v>2038</v>
      </c>
      <c r="N270" s="1011">
        <f>M270</f>
        <v>2038</v>
      </c>
      <c r="O270" s="1011">
        <f>N270</f>
        <v>2038</v>
      </c>
      <c r="P270" s="1011">
        <f>O270</f>
        <v>2038</v>
      </c>
      <c r="Q270" s="1011">
        <f>O270</f>
        <v>2038</v>
      </c>
      <c r="R270" s="1011">
        <f t="shared" ref="R270:X270" si="261">Q270</f>
        <v>2038</v>
      </c>
      <c r="S270" s="1011">
        <f t="shared" si="261"/>
        <v>2038</v>
      </c>
      <c r="T270" s="1011">
        <f t="shared" si="261"/>
        <v>2038</v>
      </c>
      <c r="U270" s="1011">
        <f t="shared" si="261"/>
        <v>2038</v>
      </c>
      <c r="V270" s="1011">
        <f t="shared" si="261"/>
        <v>2038</v>
      </c>
      <c r="W270" s="1011">
        <f t="shared" si="261"/>
        <v>2038</v>
      </c>
      <c r="X270" s="1011">
        <f t="shared" si="261"/>
        <v>2038</v>
      </c>
      <c r="Y270" s="552"/>
      <c r="Z270" s="552"/>
      <c r="AA270" s="151"/>
    </row>
    <row r="271" spans="1:27" s="94" customFormat="1" x14ac:dyDescent="0.25">
      <c r="A271" s="95" t="s">
        <v>472</v>
      </c>
      <c r="B271" s="159"/>
      <c r="C271" s="569">
        <f>C268-B268</f>
        <v>0</v>
      </c>
      <c r="D271" s="159"/>
      <c r="E271" s="565">
        <f>E268-D268</f>
        <v>0</v>
      </c>
      <c r="F271" s="159"/>
      <c r="G271" s="565">
        <f>G268-F268</f>
        <v>0</v>
      </c>
      <c r="H271" s="548"/>
      <c r="I271" s="565">
        <f>I268-H268+J271</f>
        <v>1.0658141036401503E-14</v>
      </c>
      <c r="J271" s="548"/>
      <c r="K271" s="688"/>
      <c r="L271" s="565">
        <f>L268-K268+M271</f>
        <v>0</v>
      </c>
      <c r="M271" s="688"/>
      <c r="N271" s="565">
        <f t="shared" ref="N271:N282" si="262">T271+U271+V271+W271+X271</f>
        <v>7.0610184366159957E-17</v>
      </c>
      <c r="O271" s="565">
        <f>O267+P271</f>
        <v>2</v>
      </c>
      <c r="P271" s="688"/>
      <c r="Q271" s="565">
        <f>O271*$Q$16/100/12*$R$16/100</f>
        <v>1.325E-2</v>
      </c>
      <c r="R271" s="565"/>
      <c r="S271" s="566"/>
      <c r="T271" s="685">
        <f t="shared" ref="T271:T282" si="263">C271*$C$17/100/12</f>
        <v>0</v>
      </c>
      <c r="U271" s="685">
        <f>E271*$E$17/100/12</f>
        <v>0</v>
      </c>
      <c r="V271" s="685">
        <f>G271*$G$17/100/12</f>
        <v>0</v>
      </c>
      <c r="W271" s="684">
        <f>I271*$I$17/100/12</f>
        <v>7.0610184366159957E-17</v>
      </c>
      <c r="X271" s="682">
        <f t="shared" ref="X271:X282" si="264">L271*$L$17/100/12</f>
        <v>0</v>
      </c>
      <c r="Y271" s="552"/>
      <c r="Z271" s="552"/>
      <c r="AA271" s="151"/>
    </row>
    <row r="272" spans="1:27" s="94" customFormat="1" x14ac:dyDescent="0.25">
      <c r="A272" s="95" t="s">
        <v>473</v>
      </c>
      <c r="B272" s="159"/>
      <c r="C272" s="565">
        <f t="shared" ref="C272:C282" si="265">C271-B271</f>
        <v>0</v>
      </c>
      <c r="D272" s="159"/>
      <c r="E272" s="565">
        <f t="shared" ref="E272:E282" si="266">E271-D271</f>
        <v>0</v>
      </c>
      <c r="F272" s="159"/>
      <c r="G272" s="565">
        <f t="shared" ref="G272:G282" si="267">G271-F271</f>
        <v>0</v>
      </c>
      <c r="H272" s="548"/>
      <c r="I272" s="565">
        <f>I271-H271+J272</f>
        <v>1.0658141036401503E-14</v>
      </c>
      <c r="J272" s="548"/>
      <c r="K272" s="688"/>
      <c r="L272" s="565">
        <f>L271-K271+M272</f>
        <v>0</v>
      </c>
      <c r="M272" s="688"/>
      <c r="N272" s="565">
        <f t="shared" si="262"/>
        <v>7.0610184366159957E-17</v>
      </c>
      <c r="O272" s="565">
        <f>O271+P272</f>
        <v>2</v>
      </c>
      <c r="P272" s="688"/>
      <c r="Q272" s="565">
        <f t="shared" ref="Q272:Q282" si="268">O272*$Q$16/100/12*$R$16/100</f>
        <v>1.325E-2</v>
      </c>
      <c r="R272" s="565"/>
      <c r="S272" s="566"/>
      <c r="T272" s="685">
        <f t="shared" si="263"/>
        <v>0</v>
      </c>
      <c r="U272" s="685">
        <f t="shared" ref="U272:U282" si="269">E272*$E$17/100/12</f>
        <v>0</v>
      </c>
      <c r="V272" s="685">
        <f t="shared" ref="V272:V282" si="270">G272*$G$17/100/12</f>
        <v>0</v>
      </c>
      <c r="W272" s="684">
        <f t="shared" ref="W272:W282" si="271">I272*$I$17/100/12</f>
        <v>7.0610184366159957E-17</v>
      </c>
      <c r="X272" s="682">
        <f t="shared" si="264"/>
        <v>0</v>
      </c>
      <c r="Y272" s="552"/>
      <c r="Z272" s="552"/>
      <c r="AA272" s="151"/>
    </row>
    <row r="273" spans="1:27" s="94" customFormat="1" x14ac:dyDescent="0.25">
      <c r="A273" s="95" t="s">
        <v>474</v>
      </c>
      <c r="B273" s="159"/>
      <c r="C273" s="565">
        <f t="shared" si="265"/>
        <v>0</v>
      </c>
      <c r="D273" s="159"/>
      <c r="E273" s="565">
        <f t="shared" si="266"/>
        <v>0</v>
      </c>
      <c r="F273" s="159"/>
      <c r="G273" s="565">
        <f t="shared" si="267"/>
        <v>0</v>
      </c>
      <c r="H273" s="548"/>
      <c r="I273" s="565">
        <f t="shared" ref="I273:I282" si="272">I272-H272+J273</f>
        <v>1.0658141036401503E-14</v>
      </c>
      <c r="J273" s="548"/>
      <c r="K273" s="688"/>
      <c r="L273" s="565">
        <f t="shared" ref="L273:L282" si="273">L272-K272+M273</f>
        <v>0</v>
      </c>
      <c r="M273" s="688"/>
      <c r="N273" s="565">
        <f t="shared" si="262"/>
        <v>7.0610184366159957E-17</v>
      </c>
      <c r="O273" s="565">
        <f t="shared" ref="O273:O282" si="274">O272+P273</f>
        <v>2</v>
      </c>
      <c r="P273" s="688"/>
      <c r="Q273" s="565">
        <f t="shared" si="268"/>
        <v>1.325E-2</v>
      </c>
      <c r="R273" s="565"/>
      <c r="S273" s="566"/>
      <c r="T273" s="685">
        <f t="shared" si="263"/>
        <v>0</v>
      </c>
      <c r="U273" s="685">
        <f t="shared" si="269"/>
        <v>0</v>
      </c>
      <c r="V273" s="685">
        <f t="shared" si="270"/>
        <v>0</v>
      </c>
      <c r="W273" s="684">
        <f t="shared" si="271"/>
        <v>7.0610184366159957E-17</v>
      </c>
      <c r="X273" s="682">
        <f t="shared" si="264"/>
        <v>0</v>
      </c>
      <c r="Y273" s="552"/>
      <c r="Z273" s="552"/>
      <c r="AA273" s="151"/>
    </row>
    <row r="274" spans="1:27" s="94" customFormat="1" x14ac:dyDescent="0.25">
      <c r="A274" s="95" t="s">
        <v>475</v>
      </c>
      <c r="B274" s="159"/>
      <c r="C274" s="565">
        <f t="shared" si="265"/>
        <v>0</v>
      </c>
      <c r="D274" s="159"/>
      <c r="E274" s="565">
        <f t="shared" si="266"/>
        <v>0</v>
      </c>
      <c r="F274" s="159"/>
      <c r="G274" s="565">
        <f t="shared" si="267"/>
        <v>0</v>
      </c>
      <c r="H274" s="548"/>
      <c r="I274" s="565">
        <f t="shared" si="272"/>
        <v>1.0658141036401503E-14</v>
      </c>
      <c r="J274" s="548"/>
      <c r="K274" s="688"/>
      <c r="L274" s="565">
        <f t="shared" si="273"/>
        <v>0</v>
      </c>
      <c r="M274" s="688"/>
      <c r="N274" s="565">
        <f t="shared" si="262"/>
        <v>7.0610184366159957E-17</v>
      </c>
      <c r="O274" s="565">
        <f t="shared" si="274"/>
        <v>2</v>
      </c>
      <c r="P274" s="688"/>
      <c r="Q274" s="565">
        <f t="shared" si="268"/>
        <v>1.325E-2</v>
      </c>
      <c r="R274" s="565"/>
      <c r="S274" s="566"/>
      <c r="T274" s="685">
        <f t="shared" si="263"/>
        <v>0</v>
      </c>
      <c r="U274" s="685">
        <f t="shared" si="269"/>
        <v>0</v>
      </c>
      <c r="V274" s="685">
        <f t="shared" si="270"/>
        <v>0</v>
      </c>
      <c r="W274" s="684">
        <f t="shared" si="271"/>
        <v>7.0610184366159957E-17</v>
      </c>
      <c r="X274" s="682">
        <f t="shared" si="264"/>
        <v>0</v>
      </c>
      <c r="Y274" s="552"/>
      <c r="Z274" s="552"/>
      <c r="AA274" s="151"/>
    </row>
    <row r="275" spans="1:27" s="94" customFormat="1" x14ac:dyDescent="0.25">
      <c r="A275" s="95" t="s">
        <v>476</v>
      </c>
      <c r="B275" s="159"/>
      <c r="C275" s="565">
        <f t="shared" si="265"/>
        <v>0</v>
      </c>
      <c r="D275" s="159"/>
      <c r="E275" s="565">
        <f t="shared" si="266"/>
        <v>0</v>
      </c>
      <c r="F275" s="159"/>
      <c r="G275" s="565">
        <f t="shared" si="267"/>
        <v>0</v>
      </c>
      <c r="H275" s="548"/>
      <c r="I275" s="565">
        <f t="shared" si="272"/>
        <v>1.0658141036401503E-14</v>
      </c>
      <c r="J275" s="548"/>
      <c r="K275" s="688"/>
      <c r="L275" s="565">
        <f t="shared" si="273"/>
        <v>0</v>
      </c>
      <c r="M275" s="688"/>
      <c r="N275" s="565">
        <f t="shared" si="262"/>
        <v>7.0610184366159957E-17</v>
      </c>
      <c r="O275" s="565">
        <f t="shared" si="274"/>
        <v>2</v>
      </c>
      <c r="P275" s="688"/>
      <c r="Q275" s="565">
        <f t="shared" si="268"/>
        <v>1.325E-2</v>
      </c>
      <c r="R275" s="565"/>
      <c r="S275" s="566"/>
      <c r="T275" s="685">
        <f t="shared" si="263"/>
        <v>0</v>
      </c>
      <c r="U275" s="685">
        <f t="shared" si="269"/>
        <v>0</v>
      </c>
      <c r="V275" s="685">
        <f t="shared" si="270"/>
        <v>0</v>
      </c>
      <c r="W275" s="684">
        <f t="shared" si="271"/>
        <v>7.0610184366159957E-17</v>
      </c>
      <c r="X275" s="682">
        <f t="shared" si="264"/>
        <v>0</v>
      </c>
      <c r="Y275" s="552"/>
      <c r="Z275" s="552"/>
      <c r="AA275" s="151"/>
    </row>
    <row r="276" spans="1:27" s="94" customFormat="1" x14ac:dyDescent="0.25">
      <c r="A276" s="95" t="s">
        <v>477</v>
      </c>
      <c r="B276" s="159"/>
      <c r="C276" s="565">
        <f t="shared" si="265"/>
        <v>0</v>
      </c>
      <c r="D276" s="159"/>
      <c r="E276" s="565">
        <f t="shared" si="266"/>
        <v>0</v>
      </c>
      <c r="F276" s="159"/>
      <c r="G276" s="565">
        <f t="shared" si="267"/>
        <v>0</v>
      </c>
      <c r="H276" s="548"/>
      <c r="I276" s="565">
        <f t="shared" si="272"/>
        <v>1.0658141036401503E-14</v>
      </c>
      <c r="J276" s="548"/>
      <c r="K276" s="688"/>
      <c r="L276" s="565">
        <f t="shared" si="273"/>
        <v>0</v>
      </c>
      <c r="M276" s="688"/>
      <c r="N276" s="565">
        <f t="shared" si="262"/>
        <v>7.0610184366159957E-17</v>
      </c>
      <c r="O276" s="565">
        <f t="shared" si="274"/>
        <v>2</v>
      </c>
      <c r="P276" s="688"/>
      <c r="Q276" s="565">
        <f t="shared" si="268"/>
        <v>1.325E-2</v>
      </c>
      <c r="R276" s="565"/>
      <c r="S276" s="566"/>
      <c r="T276" s="685">
        <f t="shared" si="263"/>
        <v>0</v>
      </c>
      <c r="U276" s="685">
        <f t="shared" si="269"/>
        <v>0</v>
      </c>
      <c r="V276" s="685">
        <f t="shared" si="270"/>
        <v>0</v>
      </c>
      <c r="W276" s="684">
        <f t="shared" si="271"/>
        <v>7.0610184366159957E-17</v>
      </c>
      <c r="X276" s="682">
        <f t="shared" si="264"/>
        <v>0</v>
      </c>
      <c r="Y276" s="552"/>
      <c r="Z276" s="552"/>
      <c r="AA276" s="151"/>
    </row>
    <row r="277" spans="1:27" s="94" customFormat="1" x14ac:dyDescent="0.25">
      <c r="A277" s="95" t="s">
        <v>478</v>
      </c>
      <c r="B277" s="159"/>
      <c r="C277" s="565">
        <f t="shared" si="265"/>
        <v>0</v>
      </c>
      <c r="D277" s="159"/>
      <c r="E277" s="565">
        <f t="shared" si="266"/>
        <v>0</v>
      </c>
      <c r="F277" s="159"/>
      <c r="G277" s="565">
        <f t="shared" si="267"/>
        <v>0</v>
      </c>
      <c r="H277" s="548"/>
      <c r="I277" s="565">
        <f t="shared" si="272"/>
        <v>1.0658141036401503E-14</v>
      </c>
      <c r="J277" s="548"/>
      <c r="K277" s="688"/>
      <c r="L277" s="565">
        <f t="shared" si="273"/>
        <v>0</v>
      </c>
      <c r="M277" s="688"/>
      <c r="N277" s="565">
        <f t="shared" si="262"/>
        <v>7.0610184366159957E-17</v>
      </c>
      <c r="O277" s="565">
        <f t="shared" si="274"/>
        <v>2</v>
      </c>
      <c r="P277" s="688"/>
      <c r="Q277" s="565">
        <f t="shared" si="268"/>
        <v>1.325E-2</v>
      </c>
      <c r="R277" s="565"/>
      <c r="S277" s="566"/>
      <c r="T277" s="685">
        <f t="shared" si="263"/>
        <v>0</v>
      </c>
      <c r="U277" s="685">
        <f t="shared" si="269"/>
        <v>0</v>
      </c>
      <c r="V277" s="685">
        <f t="shared" si="270"/>
        <v>0</v>
      </c>
      <c r="W277" s="684">
        <f t="shared" si="271"/>
        <v>7.0610184366159957E-17</v>
      </c>
      <c r="X277" s="682">
        <f t="shared" si="264"/>
        <v>0</v>
      </c>
      <c r="Y277" s="552"/>
      <c r="Z277" s="552"/>
      <c r="AA277" s="151"/>
    </row>
    <row r="278" spans="1:27" s="94" customFormat="1" x14ac:dyDescent="0.25">
      <c r="A278" s="95" t="s">
        <v>479</v>
      </c>
      <c r="B278" s="159"/>
      <c r="C278" s="565">
        <f t="shared" si="265"/>
        <v>0</v>
      </c>
      <c r="D278" s="159"/>
      <c r="E278" s="565">
        <f t="shared" si="266"/>
        <v>0</v>
      </c>
      <c r="F278" s="159"/>
      <c r="G278" s="565">
        <f t="shared" si="267"/>
        <v>0</v>
      </c>
      <c r="H278" s="548"/>
      <c r="I278" s="565">
        <f t="shared" si="272"/>
        <v>1.0658141036401503E-14</v>
      </c>
      <c r="J278" s="548"/>
      <c r="K278" s="688"/>
      <c r="L278" s="565">
        <f t="shared" si="273"/>
        <v>0</v>
      </c>
      <c r="M278" s="688"/>
      <c r="N278" s="565">
        <f t="shared" si="262"/>
        <v>7.0610184366159957E-17</v>
      </c>
      <c r="O278" s="565">
        <f t="shared" si="274"/>
        <v>2</v>
      </c>
      <c r="P278" s="688"/>
      <c r="Q278" s="565">
        <f t="shared" si="268"/>
        <v>1.325E-2</v>
      </c>
      <c r="R278" s="565"/>
      <c r="S278" s="566"/>
      <c r="T278" s="685">
        <f t="shared" si="263"/>
        <v>0</v>
      </c>
      <c r="U278" s="685">
        <f t="shared" si="269"/>
        <v>0</v>
      </c>
      <c r="V278" s="685">
        <f t="shared" si="270"/>
        <v>0</v>
      </c>
      <c r="W278" s="684">
        <f t="shared" si="271"/>
        <v>7.0610184366159957E-17</v>
      </c>
      <c r="X278" s="682">
        <f t="shared" si="264"/>
        <v>0</v>
      </c>
      <c r="Y278" s="552"/>
      <c r="Z278" s="552"/>
      <c r="AA278" s="151"/>
    </row>
    <row r="279" spans="1:27" s="94" customFormat="1" x14ac:dyDescent="0.25">
      <c r="A279" s="95" t="s">
        <v>480</v>
      </c>
      <c r="B279" s="159"/>
      <c r="C279" s="565">
        <f t="shared" si="265"/>
        <v>0</v>
      </c>
      <c r="D279" s="159"/>
      <c r="E279" s="565">
        <f t="shared" si="266"/>
        <v>0</v>
      </c>
      <c r="F279" s="159"/>
      <c r="G279" s="565">
        <f t="shared" si="267"/>
        <v>0</v>
      </c>
      <c r="H279" s="548"/>
      <c r="I279" s="565">
        <f t="shared" si="272"/>
        <v>1.0658141036401503E-14</v>
      </c>
      <c r="J279" s="548"/>
      <c r="K279" s="688"/>
      <c r="L279" s="565">
        <f t="shared" si="273"/>
        <v>0</v>
      </c>
      <c r="M279" s="688"/>
      <c r="N279" s="565">
        <f t="shared" si="262"/>
        <v>7.0610184366159957E-17</v>
      </c>
      <c r="O279" s="565">
        <f t="shared" si="274"/>
        <v>2</v>
      </c>
      <c r="P279" s="688"/>
      <c r="Q279" s="565">
        <f t="shared" si="268"/>
        <v>1.325E-2</v>
      </c>
      <c r="R279" s="565"/>
      <c r="S279" s="566"/>
      <c r="T279" s="685">
        <f t="shared" si="263"/>
        <v>0</v>
      </c>
      <c r="U279" s="685">
        <f t="shared" si="269"/>
        <v>0</v>
      </c>
      <c r="V279" s="685">
        <f t="shared" si="270"/>
        <v>0</v>
      </c>
      <c r="W279" s="684">
        <f t="shared" si="271"/>
        <v>7.0610184366159957E-17</v>
      </c>
      <c r="X279" s="682">
        <f t="shared" si="264"/>
        <v>0</v>
      </c>
      <c r="Y279" s="552"/>
      <c r="Z279" s="552"/>
      <c r="AA279" s="151"/>
    </row>
    <row r="280" spans="1:27" s="94" customFormat="1" x14ac:dyDescent="0.25">
      <c r="A280" s="95" t="s">
        <v>481</v>
      </c>
      <c r="B280" s="159"/>
      <c r="C280" s="565">
        <f t="shared" si="265"/>
        <v>0</v>
      </c>
      <c r="D280" s="159"/>
      <c r="E280" s="565">
        <f t="shared" si="266"/>
        <v>0</v>
      </c>
      <c r="F280" s="159"/>
      <c r="G280" s="565">
        <f t="shared" si="267"/>
        <v>0</v>
      </c>
      <c r="H280" s="548"/>
      <c r="I280" s="565">
        <f t="shared" si="272"/>
        <v>1.0658141036401503E-14</v>
      </c>
      <c r="J280" s="548"/>
      <c r="K280" s="688"/>
      <c r="L280" s="565">
        <f t="shared" si="273"/>
        <v>0</v>
      </c>
      <c r="M280" s="688"/>
      <c r="N280" s="565">
        <f t="shared" si="262"/>
        <v>7.0610184366159957E-17</v>
      </c>
      <c r="O280" s="565">
        <f t="shared" si="274"/>
        <v>2</v>
      </c>
      <c r="P280" s="688"/>
      <c r="Q280" s="565">
        <f t="shared" si="268"/>
        <v>1.325E-2</v>
      </c>
      <c r="R280" s="565"/>
      <c r="S280" s="566"/>
      <c r="T280" s="685">
        <f t="shared" si="263"/>
        <v>0</v>
      </c>
      <c r="U280" s="685">
        <f t="shared" si="269"/>
        <v>0</v>
      </c>
      <c r="V280" s="685">
        <f t="shared" si="270"/>
        <v>0</v>
      </c>
      <c r="W280" s="684">
        <f t="shared" si="271"/>
        <v>7.0610184366159957E-17</v>
      </c>
      <c r="X280" s="682">
        <f t="shared" si="264"/>
        <v>0</v>
      </c>
      <c r="Y280" s="552"/>
      <c r="Z280" s="552"/>
      <c r="AA280" s="151"/>
    </row>
    <row r="281" spans="1:27" s="94" customFormat="1" x14ac:dyDescent="0.25">
      <c r="A281" s="95" t="s">
        <v>482</v>
      </c>
      <c r="B281" s="159"/>
      <c r="C281" s="565">
        <f t="shared" si="265"/>
        <v>0</v>
      </c>
      <c r="D281" s="159"/>
      <c r="E281" s="565">
        <f t="shared" si="266"/>
        <v>0</v>
      </c>
      <c r="F281" s="159"/>
      <c r="G281" s="565">
        <f t="shared" si="267"/>
        <v>0</v>
      </c>
      <c r="H281" s="548"/>
      <c r="I281" s="565">
        <f t="shared" si="272"/>
        <v>1.0658141036401503E-14</v>
      </c>
      <c r="J281" s="548"/>
      <c r="K281" s="688"/>
      <c r="L281" s="565">
        <f t="shared" si="273"/>
        <v>0</v>
      </c>
      <c r="M281" s="688"/>
      <c r="N281" s="565">
        <f t="shared" si="262"/>
        <v>7.0610184366159957E-17</v>
      </c>
      <c r="O281" s="565">
        <f t="shared" si="274"/>
        <v>2</v>
      </c>
      <c r="P281" s="688"/>
      <c r="Q281" s="565">
        <f t="shared" si="268"/>
        <v>1.325E-2</v>
      </c>
      <c r="R281" s="565"/>
      <c r="S281" s="566"/>
      <c r="T281" s="685">
        <f t="shared" si="263"/>
        <v>0</v>
      </c>
      <c r="U281" s="685">
        <f t="shared" si="269"/>
        <v>0</v>
      </c>
      <c r="V281" s="685">
        <f t="shared" si="270"/>
        <v>0</v>
      </c>
      <c r="W281" s="684">
        <f t="shared" si="271"/>
        <v>7.0610184366159957E-17</v>
      </c>
      <c r="X281" s="682">
        <f t="shared" si="264"/>
        <v>0</v>
      </c>
      <c r="Y281" s="552"/>
      <c r="Z281" s="552"/>
      <c r="AA281" s="151"/>
    </row>
    <row r="282" spans="1:27" s="220" customFormat="1" x14ac:dyDescent="0.25">
      <c r="A282" s="105" t="s">
        <v>483</v>
      </c>
      <c r="B282" s="159"/>
      <c r="C282" s="569">
        <f t="shared" si="265"/>
        <v>0</v>
      </c>
      <c r="D282" s="159"/>
      <c r="E282" s="569">
        <f t="shared" si="266"/>
        <v>0</v>
      </c>
      <c r="F282" s="159"/>
      <c r="G282" s="569">
        <f t="shared" si="267"/>
        <v>0</v>
      </c>
      <c r="H282" s="548"/>
      <c r="I282" s="569">
        <f t="shared" si="272"/>
        <v>1.0658141036401503E-14</v>
      </c>
      <c r="J282" s="548"/>
      <c r="K282" s="688"/>
      <c r="L282" s="569">
        <f t="shared" si="273"/>
        <v>0</v>
      </c>
      <c r="M282" s="690"/>
      <c r="N282" s="569">
        <f t="shared" si="262"/>
        <v>7.0610184366159957E-17</v>
      </c>
      <c r="O282" s="569">
        <f t="shared" si="274"/>
        <v>2</v>
      </c>
      <c r="P282" s="690"/>
      <c r="Q282" s="569">
        <f t="shared" si="268"/>
        <v>1.325E-2</v>
      </c>
      <c r="R282" s="569"/>
      <c r="S282" s="569"/>
      <c r="T282" s="686">
        <f t="shared" si="263"/>
        <v>0</v>
      </c>
      <c r="U282" s="686">
        <f t="shared" si="269"/>
        <v>0</v>
      </c>
      <c r="V282" s="686">
        <f t="shared" si="270"/>
        <v>0</v>
      </c>
      <c r="W282" s="687">
        <f t="shared" si="271"/>
        <v>7.0610184366159957E-17</v>
      </c>
      <c r="X282" s="683">
        <f t="shared" si="264"/>
        <v>0</v>
      </c>
      <c r="Y282" s="571"/>
      <c r="Z282" s="571"/>
      <c r="AA282" s="219"/>
    </row>
    <row r="283" spans="1:27" s="94" customFormat="1" x14ac:dyDescent="0.25">
      <c r="A283" s="567" t="s">
        <v>258</v>
      </c>
      <c r="B283" s="566">
        <f>SUM(B271:B282)</f>
        <v>0</v>
      </c>
      <c r="C283" s="565"/>
      <c r="D283" s="566">
        <f>SUM(D271:D282)</f>
        <v>0</v>
      </c>
      <c r="E283" s="565"/>
      <c r="F283" s="566">
        <f>SUM(F271:F282)</f>
        <v>0</v>
      </c>
      <c r="G283" s="565"/>
      <c r="H283" s="566">
        <f>SUM(H271:H282)</f>
        <v>0</v>
      </c>
      <c r="I283" s="565"/>
      <c r="J283" s="566">
        <f>SUM(J271:J282)</f>
        <v>0</v>
      </c>
      <c r="K283" s="566">
        <f>SUM(K271:K282)</f>
        <v>0</v>
      </c>
      <c r="L283" s="565"/>
      <c r="M283" s="566">
        <f>SUM(M271:M282)</f>
        <v>0</v>
      </c>
      <c r="N283" s="566">
        <f>SUM(N271:N282)</f>
        <v>8.4732221239391953E-16</v>
      </c>
      <c r="O283" s="565"/>
      <c r="P283" s="566">
        <f>SUM(P271:P282)</f>
        <v>0</v>
      </c>
      <c r="Q283" s="566">
        <f>SUM(Q271:Q282)</f>
        <v>0.15900000000000003</v>
      </c>
      <c r="R283" s="566"/>
      <c r="S283" s="566">
        <f>N283+Q283</f>
        <v>0.15900000000000089</v>
      </c>
      <c r="T283" s="566">
        <f>SUM(T271:T282)</f>
        <v>0</v>
      </c>
      <c r="U283" s="566">
        <f>SUM(U271:U282)</f>
        <v>0</v>
      </c>
      <c r="V283" s="566">
        <f>SUM(V271:V282)</f>
        <v>0</v>
      </c>
      <c r="W283" s="566">
        <f>SUM(W271:W282)</f>
        <v>8.4732221239391953E-16</v>
      </c>
      <c r="X283" s="566">
        <f>SUM(X271:X282)</f>
        <v>0</v>
      </c>
      <c r="Y283" s="552"/>
      <c r="Z283" s="552"/>
      <c r="AA283" s="151"/>
    </row>
    <row r="284" spans="1:27" s="94" customFormat="1" x14ac:dyDescent="0.25">
      <c r="A284" s="106">
        <f>'Oper.St.'!V11</f>
        <v>2039</v>
      </c>
      <c r="B284" s="1011">
        <f t="shared" ref="B284:I284" si="275">A284</f>
        <v>2039</v>
      </c>
      <c r="C284" s="1011">
        <f t="shared" si="275"/>
        <v>2039</v>
      </c>
      <c r="D284" s="1011">
        <f t="shared" si="275"/>
        <v>2039</v>
      </c>
      <c r="E284" s="1011">
        <f t="shared" si="275"/>
        <v>2039</v>
      </c>
      <c r="F284" s="1011">
        <f t="shared" si="275"/>
        <v>2039</v>
      </c>
      <c r="G284" s="1011">
        <f t="shared" si="275"/>
        <v>2039</v>
      </c>
      <c r="H284" s="1011">
        <f t="shared" si="275"/>
        <v>2039</v>
      </c>
      <c r="I284" s="1011">
        <f t="shared" si="275"/>
        <v>2039</v>
      </c>
      <c r="J284" s="1011"/>
      <c r="K284" s="1011">
        <f>I284</f>
        <v>2039</v>
      </c>
      <c r="L284" s="1011">
        <f>K284</f>
        <v>2039</v>
      </c>
      <c r="M284" s="1011">
        <f>L284</f>
        <v>2039</v>
      </c>
      <c r="N284" s="1011">
        <f>M284</f>
        <v>2039</v>
      </c>
      <c r="O284" s="1011">
        <f>N284</f>
        <v>2039</v>
      </c>
      <c r="P284" s="1011">
        <f>O284</f>
        <v>2039</v>
      </c>
      <c r="Q284" s="1011">
        <f>O284</f>
        <v>2039</v>
      </c>
      <c r="R284" s="1011">
        <f t="shared" ref="R284:X284" si="276">Q284</f>
        <v>2039</v>
      </c>
      <c r="S284" s="1011">
        <f t="shared" si="276"/>
        <v>2039</v>
      </c>
      <c r="T284" s="1011">
        <f t="shared" si="276"/>
        <v>2039</v>
      </c>
      <c r="U284" s="1011">
        <f t="shared" si="276"/>
        <v>2039</v>
      </c>
      <c r="V284" s="1011">
        <f t="shared" si="276"/>
        <v>2039</v>
      </c>
      <c r="W284" s="1011">
        <f t="shared" si="276"/>
        <v>2039</v>
      </c>
      <c r="X284" s="1011">
        <f t="shared" si="276"/>
        <v>2039</v>
      </c>
      <c r="Y284" s="552"/>
      <c r="Z284" s="552"/>
      <c r="AA284" s="151"/>
    </row>
    <row r="285" spans="1:27" s="94" customFormat="1" x14ac:dyDescent="0.25">
      <c r="A285" s="95" t="s">
        <v>472</v>
      </c>
      <c r="B285" s="159"/>
      <c r="C285" s="569">
        <f>C282-B282</f>
        <v>0</v>
      </c>
      <c r="D285" s="159"/>
      <c r="E285" s="565">
        <f>E282-D282</f>
        <v>0</v>
      </c>
      <c r="F285" s="159"/>
      <c r="G285" s="565">
        <f>G282-F282</f>
        <v>0</v>
      </c>
      <c r="H285" s="548"/>
      <c r="I285" s="565">
        <f>I282-H282+J285</f>
        <v>1.0658141036401503E-14</v>
      </c>
      <c r="J285" s="548"/>
      <c r="K285" s="688"/>
      <c r="L285" s="565">
        <f>L282-K282+M285</f>
        <v>0</v>
      </c>
      <c r="M285" s="688"/>
      <c r="N285" s="565">
        <f t="shared" ref="N285:N296" si="277">T285+U285+V285+W285+X285</f>
        <v>7.0610184366159957E-17</v>
      </c>
      <c r="O285" s="565">
        <f>O281+P285</f>
        <v>2</v>
      </c>
      <c r="P285" s="688"/>
      <c r="Q285" s="565">
        <f>O285*$Q$16/100/12*$R$16/100</f>
        <v>1.325E-2</v>
      </c>
      <c r="R285" s="565"/>
      <c r="S285" s="566"/>
      <c r="T285" s="685">
        <f t="shared" ref="T285:T296" si="278">C285*$C$17/100/12</f>
        <v>0</v>
      </c>
      <c r="U285" s="685">
        <f>E285*$E$17/100/12</f>
        <v>0</v>
      </c>
      <c r="V285" s="685">
        <f>G285*$G$17/100/12</f>
        <v>0</v>
      </c>
      <c r="W285" s="684">
        <f>I285*$I$17/100/12</f>
        <v>7.0610184366159957E-17</v>
      </c>
      <c r="X285" s="682">
        <f t="shared" ref="X285:X296" si="279">L285*$L$17/100/12</f>
        <v>0</v>
      </c>
      <c r="Y285" s="552"/>
      <c r="Z285" s="552"/>
      <c r="AA285" s="151"/>
    </row>
    <row r="286" spans="1:27" s="94" customFormat="1" x14ac:dyDescent="0.25">
      <c r="A286" s="95" t="s">
        <v>473</v>
      </c>
      <c r="B286" s="159"/>
      <c r="C286" s="565">
        <f t="shared" ref="C286:C296" si="280">C285-B285</f>
        <v>0</v>
      </c>
      <c r="D286" s="159"/>
      <c r="E286" s="565">
        <f t="shared" ref="E286:E296" si="281">E285-D285</f>
        <v>0</v>
      </c>
      <c r="F286" s="159"/>
      <c r="G286" s="565">
        <f t="shared" ref="G286:G296" si="282">G285-F285</f>
        <v>0</v>
      </c>
      <c r="H286" s="548"/>
      <c r="I286" s="565">
        <f>I285-H285+J286</f>
        <v>1.0658141036401503E-14</v>
      </c>
      <c r="J286" s="548"/>
      <c r="K286" s="688"/>
      <c r="L286" s="565">
        <f>L285-K285+M286</f>
        <v>0</v>
      </c>
      <c r="M286" s="688"/>
      <c r="N286" s="565">
        <f t="shared" si="277"/>
        <v>7.0610184366159957E-17</v>
      </c>
      <c r="O286" s="565">
        <f>O285+P286</f>
        <v>2</v>
      </c>
      <c r="P286" s="688"/>
      <c r="Q286" s="565">
        <f t="shared" ref="Q286:Q296" si="283">O286*$Q$16/100/12*$R$16/100</f>
        <v>1.325E-2</v>
      </c>
      <c r="R286" s="565"/>
      <c r="S286" s="566"/>
      <c r="T286" s="685">
        <f t="shared" si="278"/>
        <v>0</v>
      </c>
      <c r="U286" s="685">
        <f t="shared" ref="U286:U296" si="284">E286*$E$17/100/12</f>
        <v>0</v>
      </c>
      <c r="V286" s="685">
        <f t="shared" ref="V286:V296" si="285">G286*$G$17/100/12</f>
        <v>0</v>
      </c>
      <c r="W286" s="684">
        <f t="shared" ref="W286:W296" si="286">I286*$I$17/100/12</f>
        <v>7.0610184366159957E-17</v>
      </c>
      <c r="X286" s="682">
        <f t="shared" si="279"/>
        <v>0</v>
      </c>
      <c r="Y286" s="552"/>
      <c r="Z286" s="552"/>
      <c r="AA286" s="151"/>
    </row>
    <row r="287" spans="1:27" s="94" customFormat="1" x14ac:dyDescent="0.25">
      <c r="A287" s="95" t="s">
        <v>474</v>
      </c>
      <c r="B287" s="159"/>
      <c r="C287" s="565">
        <f t="shared" si="280"/>
        <v>0</v>
      </c>
      <c r="D287" s="159"/>
      <c r="E287" s="565">
        <f t="shared" si="281"/>
        <v>0</v>
      </c>
      <c r="F287" s="159"/>
      <c r="G287" s="565">
        <f t="shared" si="282"/>
        <v>0</v>
      </c>
      <c r="H287" s="548"/>
      <c r="I287" s="565">
        <f t="shared" ref="I287:I296" si="287">I286-H286+J287</f>
        <v>1.0658141036401503E-14</v>
      </c>
      <c r="J287" s="548"/>
      <c r="K287" s="688"/>
      <c r="L287" s="565">
        <f t="shared" ref="L287:L296" si="288">L286-K286+M287</f>
        <v>0</v>
      </c>
      <c r="M287" s="688"/>
      <c r="N287" s="565">
        <f t="shared" si="277"/>
        <v>7.0610184366159957E-17</v>
      </c>
      <c r="O287" s="565">
        <f t="shared" ref="O287:O296" si="289">O286+P287</f>
        <v>2</v>
      </c>
      <c r="P287" s="688"/>
      <c r="Q287" s="565">
        <f t="shared" si="283"/>
        <v>1.325E-2</v>
      </c>
      <c r="R287" s="565"/>
      <c r="S287" s="566"/>
      <c r="T287" s="685">
        <f t="shared" si="278"/>
        <v>0</v>
      </c>
      <c r="U287" s="685">
        <f t="shared" si="284"/>
        <v>0</v>
      </c>
      <c r="V287" s="685">
        <f t="shared" si="285"/>
        <v>0</v>
      </c>
      <c r="W287" s="684">
        <f t="shared" si="286"/>
        <v>7.0610184366159957E-17</v>
      </c>
      <c r="X287" s="682">
        <f t="shared" si="279"/>
        <v>0</v>
      </c>
      <c r="Y287" s="552"/>
      <c r="Z287" s="552"/>
      <c r="AA287" s="151"/>
    </row>
    <row r="288" spans="1:27" s="94" customFormat="1" x14ac:dyDescent="0.25">
      <c r="A288" s="95" t="s">
        <v>475</v>
      </c>
      <c r="B288" s="159"/>
      <c r="C288" s="565">
        <f t="shared" si="280"/>
        <v>0</v>
      </c>
      <c r="D288" s="159"/>
      <c r="E288" s="565">
        <f t="shared" si="281"/>
        <v>0</v>
      </c>
      <c r="F288" s="159"/>
      <c r="G288" s="565">
        <f t="shared" si="282"/>
        <v>0</v>
      </c>
      <c r="H288" s="548"/>
      <c r="I288" s="565">
        <f t="shared" si="287"/>
        <v>1.0658141036401503E-14</v>
      </c>
      <c r="J288" s="548"/>
      <c r="K288" s="688"/>
      <c r="L288" s="565">
        <f t="shared" si="288"/>
        <v>0</v>
      </c>
      <c r="M288" s="688"/>
      <c r="N288" s="565">
        <f t="shared" si="277"/>
        <v>7.0610184366159957E-17</v>
      </c>
      <c r="O288" s="565">
        <f t="shared" si="289"/>
        <v>2</v>
      </c>
      <c r="P288" s="688"/>
      <c r="Q288" s="565">
        <f t="shared" si="283"/>
        <v>1.325E-2</v>
      </c>
      <c r="R288" s="565"/>
      <c r="S288" s="566"/>
      <c r="T288" s="685">
        <f t="shared" si="278"/>
        <v>0</v>
      </c>
      <c r="U288" s="685">
        <f t="shared" si="284"/>
        <v>0</v>
      </c>
      <c r="V288" s="685">
        <f t="shared" si="285"/>
        <v>0</v>
      </c>
      <c r="W288" s="684">
        <f t="shared" si="286"/>
        <v>7.0610184366159957E-17</v>
      </c>
      <c r="X288" s="682">
        <f t="shared" si="279"/>
        <v>0</v>
      </c>
      <c r="Y288" s="552"/>
      <c r="Z288" s="552"/>
      <c r="AA288" s="151"/>
    </row>
    <row r="289" spans="1:27" s="94" customFormat="1" x14ac:dyDescent="0.25">
      <c r="A289" s="95" t="s">
        <v>476</v>
      </c>
      <c r="B289" s="159"/>
      <c r="C289" s="565">
        <f t="shared" si="280"/>
        <v>0</v>
      </c>
      <c r="D289" s="159"/>
      <c r="E289" s="565">
        <f t="shared" si="281"/>
        <v>0</v>
      </c>
      <c r="F289" s="159"/>
      <c r="G289" s="565">
        <f t="shared" si="282"/>
        <v>0</v>
      </c>
      <c r="H289" s="548"/>
      <c r="I289" s="565">
        <f t="shared" si="287"/>
        <v>1.0658141036401503E-14</v>
      </c>
      <c r="J289" s="548"/>
      <c r="K289" s="688"/>
      <c r="L289" s="565">
        <f t="shared" si="288"/>
        <v>0</v>
      </c>
      <c r="M289" s="688"/>
      <c r="N289" s="565">
        <f t="shared" si="277"/>
        <v>7.0610184366159957E-17</v>
      </c>
      <c r="O289" s="565">
        <f t="shared" si="289"/>
        <v>2</v>
      </c>
      <c r="P289" s="688"/>
      <c r="Q289" s="565">
        <f t="shared" si="283"/>
        <v>1.325E-2</v>
      </c>
      <c r="R289" s="565"/>
      <c r="S289" s="566"/>
      <c r="T289" s="685">
        <f t="shared" si="278"/>
        <v>0</v>
      </c>
      <c r="U289" s="685">
        <f t="shared" si="284"/>
        <v>0</v>
      </c>
      <c r="V289" s="685">
        <f t="shared" si="285"/>
        <v>0</v>
      </c>
      <c r="W289" s="684">
        <f t="shared" si="286"/>
        <v>7.0610184366159957E-17</v>
      </c>
      <c r="X289" s="682">
        <f t="shared" si="279"/>
        <v>0</v>
      </c>
      <c r="Y289" s="552"/>
      <c r="Z289" s="552"/>
      <c r="AA289" s="151"/>
    </row>
    <row r="290" spans="1:27" s="94" customFormat="1" x14ac:dyDescent="0.25">
      <c r="A290" s="95" t="s">
        <v>477</v>
      </c>
      <c r="B290" s="159"/>
      <c r="C290" s="565">
        <f t="shared" si="280"/>
        <v>0</v>
      </c>
      <c r="D290" s="159"/>
      <c r="E290" s="565">
        <f t="shared" si="281"/>
        <v>0</v>
      </c>
      <c r="F290" s="159"/>
      <c r="G290" s="565">
        <f t="shared" si="282"/>
        <v>0</v>
      </c>
      <c r="H290" s="548"/>
      <c r="I290" s="565">
        <f t="shared" si="287"/>
        <v>1.0658141036401503E-14</v>
      </c>
      <c r="J290" s="548"/>
      <c r="K290" s="688"/>
      <c r="L290" s="565">
        <f t="shared" si="288"/>
        <v>0</v>
      </c>
      <c r="M290" s="688"/>
      <c r="N290" s="565">
        <f t="shared" si="277"/>
        <v>7.0610184366159957E-17</v>
      </c>
      <c r="O290" s="565">
        <f t="shared" si="289"/>
        <v>2</v>
      </c>
      <c r="P290" s="688"/>
      <c r="Q290" s="565">
        <f t="shared" si="283"/>
        <v>1.325E-2</v>
      </c>
      <c r="R290" s="565"/>
      <c r="S290" s="566"/>
      <c r="T290" s="685">
        <f t="shared" si="278"/>
        <v>0</v>
      </c>
      <c r="U290" s="685">
        <f t="shared" si="284"/>
        <v>0</v>
      </c>
      <c r="V290" s="685">
        <f t="shared" si="285"/>
        <v>0</v>
      </c>
      <c r="W290" s="684">
        <f t="shared" si="286"/>
        <v>7.0610184366159957E-17</v>
      </c>
      <c r="X290" s="682">
        <f t="shared" si="279"/>
        <v>0</v>
      </c>
      <c r="Y290" s="552"/>
      <c r="Z290" s="552"/>
      <c r="AA290" s="151"/>
    </row>
    <row r="291" spans="1:27" s="94" customFormat="1" x14ac:dyDescent="0.25">
      <c r="A291" s="95" t="s">
        <v>478</v>
      </c>
      <c r="B291" s="159"/>
      <c r="C291" s="565">
        <f t="shared" si="280"/>
        <v>0</v>
      </c>
      <c r="D291" s="159"/>
      <c r="E291" s="565">
        <f t="shared" si="281"/>
        <v>0</v>
      </c>
      <c r="F291" s="159"/>
      <c r="G291" s="565">
        <f t="shared" si="282"/>
        <v>0</v>
      </c>
      <c r="H291" s="548"/>
      <c r="I291" s="565">
        <f t="shared" si="287"/>
        <v>1.0658141036401503E-14</v>
      </c>
      <c r="J291" s="548"/>
      <c r="K291" s="688"/>
      <c r="L291" s="565">
        <f t="shared" si="288"/>
        <v>0</v>
      </c>
      <c r="M291" s="688"/>
      <c r="N291" s="565">
        <f t="shared" si="277"/>
        <v>7.0610184366159957E-17</v>
      </c>
      <c r="O291" s="565">
        <f t="shared" si="289"/>
        <v>2</v>
      </c>
      <c r="P291" s="688"/>
      <c r="Q291" s="565">
        <f t="shared" si="283"/>
        <v>1.325E-2</v>
      </c>
      <c r="R291" s="565"/>
      <c r="S291" s="566"/>
      <c r="T291" s="685">
        <f t="shared" si="278"/>
        <v>0</v>
      </c>
      <c r="U291" s="685">
        <f t="shared" si="284"/>
        <v>0</v>
      </c>
      <c r="V291" s="685">
        <f t="shared" si="285"/>
        <v>0</v>
      </c>
      <c r="W291" s="684">
        <f t="shared" si="286"/>
        <v>7.0610184366159957E-17</v>
      </c>
      <c r="X291" s="682">
        <f t="shared" si="279"/>
        <v>0</v>
      </c>
      <c r="Y291" s="552"/>
      <c r="Z291" s="552"/>
      <c r="AA291" s="151"/>
    </row>
    <row r="292" spans="1:27" s="94" customFormat="1" x14ac:dyDescent="0.25">
      <c r="A292" s="95" t="s">
        <v>479</v>
      </c>
      <c r="B292" s="159"/>
      <c r="C292" s="565">
        <f t="shared" si="280"/>
        <v>0</v>
      </c>
      <c r="D292" s="159"/>
      <c r="E292" s="565">
        <f t="shared" si="281"/>
        <v>0</v>
      </c>
      <c r="F292" s="159"/>
      <c r="G292" s="565">
        <f t="shared" si="282"/>
        <v>0</v>
      </c>
      <c r="H292" s="548"/>
      <c r="I292" s="565">
        <f t="shared" si="287"/>
        <v>1.0658141036401503E-14</v>
      </c>
      <c r="J292" s="548"/>
      <c r="K292" s="688"/>
      <c r="L292" s="565">
        <f t="shared" si="288"/>
        <v>0</v>
      </c>
      <c r="M292" s="688"/>
      <c r="N292" s="565">
        <f t="shared" si="277"/>
        <v>7.0610184366159957E-17</v>
      </c>
      <c r="O292" s="565">
        <f t="shared" si="289"/>
        <v>2</v>
      </c>
      <c r="P292" s="688"/>
      <c r="Q292" s="565">
        <f t="shared" si="283"/>
        <v>1.325E-2</v>
      </c>
      <c r="R292" s="565"/>
      <c r="S292" s="566"/>
      <c r="T292" s="685">
        <f t="shared" si="278"/>
        <v>0</v>
      </c>
      <c r="U292" s="685">
        <f t="shared" si="284"/>
        <v>0</v>
      </c>
      <c r="V292" s="685">
        <f t="shared" si="285"/>
        <v>0</v>
      </c>
      <c r="W292" s="684">
        <f t="shared" si="286"/>
        <v>7.0610184366159957E-17</v>
      </c>
      <c r="X292" s="682">
        <f t="shared" si="279"/>
        <v>0</v>
      </c>
      <c r="Y292" s="552"/>
      <c r="Z292" s="552"/>
      <c r="AA292" s="151"/>
    </row>
    <row r="293" spans="1:27" s="94" customFormat="1" x14ac:dyDescent="0.25">
      <c r="A293" s="95" t="s">
        <v>480</v>
      </c>
      <c r="B293" s="159"/>
      <c r="C293" s="565">
        <f t="shared" si="280"/>
        <v>0</v>
      </c>
      <c r="D293" s="159"/>
      <c r="E293" s="565">
        <f t="shared" si="281"/>
        <v>0</v>
      </c>
      <c r="F293" s="159"/>
      <c r="G293" s="565">
        <f t="shared" si="282"/>
        <v>0</v>
      </c>
      <c r="H293" s="548"/>
      <c r="I293" s="565">
        <f t="shared" si="287"/>
        <v>1.0658141036401503E-14</v>
      </c>
      <c r="J293" s="548"/>
      <c r="K293" s="688"/>
      <c r="L293" s="565">
        <f t="shared" si="288"/>
        <v>0</v>
      </c>
      <c r="M293" s="688"/>
      <c r="N293" s="565">
        <f t="shared" si="277"/>
        <v>7.0610184366159957E-17</v>
      </c>
      <c r="O293" s="565">
        <f t="shared" si="289"/>
        <v>2</v>
      </c>
      <c r="P293" s="688"/>
      <c r="Q293" s="565">
        <f t="shared" si="283"/>
        <v>1.325E-2</v>
      </c>
      <c r="R293" s="565"/>
      <c r="S293" s="566"/>
      <c r="T293" s="685">
        <f t="shared" si="278"/>
        <v>0</v>
      </c>
      <c r="U293" s="685">
        <f t="shared" si="284"/>
        <v>0</v>
      </c>
      <c r="V293" s="685">
        <f t="shared" si="285"/>
        <v>0</v>
      </c>
      <c r="W293" s="684">
        <f t="shared" si="286"/>
        <v>7.0610184366159957E-17</v>
      </c>
      <c r="X293" s="682">
        <f t="shared" si="279"/>
        <v>0</v>
      </c>
      <c r="Y293" s="552"/>
      <c r="Z293" s="552"/>
      <c r="AA293" s="151"/>
    </row>
    <row r="294" spans="1:27" s="94" customFormat="1" x14ac:dyDescent="0.25">
      <c r="A294" s="95" t="s">
        <v>481</v>
      </c>
      <c r="B294" s="159"/>
      <c r="C294" s="565">
        <f t="shared" si="280"/>
        <v>0</v>
      </c>
      <c r="D294" s="159"/>
      <c r="E294" s="565">
        <f t="shared" si="281"/>
        <v>0</v>
      </c>
      <c r="F294" s="159"/>
      <c r="G294" s="565">
        <f t="shared" si="282"/>
        <v>0</v>
      </c>
      <c r="H294" s="548"/>
      <c r="I294" s="565">
        <f t="shared" si="287"/>
        <v>1.0658141036401503E-14</v>
      </c>
      <c r="J294" s="548"/>
      <c r="K294" s="688"/>
      <c r="L294" s="565">
        <f t="shared" si="288"/>
        <v>0</v>
      </c>
      <c r="M294" s="688"/>
      <c r="N294" s="565">
        <f t="shared" si="277"/>
        <v>7.0610184366159957E-17</v>
      </c>
      <c r="O294" s="565">
        <f t="shared" si="289"/>
        <v>2</v>
      </c>
      <c r="P294" s="688"/>
      <c r="Q294" s="565">
        <f t="shared" si="283"/>
        <v>1.325E-2</v>
      </c>
      <c r="R294" s="565"/>
      <c r="S294" s="566"/>
      <c r="T294" s="685">
        <f t="shared" si="278"/>
        <v>0</v>
      </c>
      <c r="U294" s="685">
        <f t="shared" si="284"/>
        <v>0</v>
      </c>
      <c r="V294" s="685">
        <f t="shared" si="285"/>
        <v>0</v>
      </c>
      <c r="W294" s="684">
        <f t="shared" si="286"/>
        <v>7.0610184366159957E-17</v>
      </c>
      <c r="X294" s="682">
        <f t="shared" si="279"/>
        <v>0</v>
      </c>
      <c r="Y294" s="552"/>
      <c r="Z294" s="552"/>
      <c r="AA294" s="151"/>
    </row>
    <row r="295" spans="1:27" s="94" customFormat="1" x14ac:dyDescent="0.25">
      <c r="A295" s="95" t="s">
        <v>482</v>
      </c>
      <c r="B295" s="159"/>
      <c r="C295" s="565">
        <f t="shared" si="280"/>
        <v>0</v>
      </c>
      <c r="D295" s="159"/>
      <c r="E295" s="565">
        <f t="shared" si="281"/>
        <v>0</v>
      </c>
      <c r="F295" s="159"/>
      <c r="G295" s="565">
        <f t="shared" si="282"/>
        <v>0</v>
      </c>
      <c r="H295" s="548"/>
      <c r="I295" s="565">
        <f t="shared" si="287"/>
        <v>1.0658141036401503E-14</v>
      </c>
      <c r="J295" s="548"/>
      <c r="K295" s="688"/>
      <c r="L295" s="565">
        <f t="shared" si="288"/>
        <v>0</v>
      </c>
      <c r="M295" s="688"/>
      <c r="N295" s="565">
        <f t="shared" si="277"/>
        <v>7.0610184366159957E-17</v>
      </c>
      <c r="O295" s="565">
        <f t="shared" si="289"/>
        <v>2</v>
      </c>
      <c r="P295" s="688"/>
      <c r="Q295" s="565">
        <f t="shared" si="283"/>
        <v>1.325E-2</v>
      </c>
      <c r="R295" s="565"/>
      <c r="S295" s="566"/>
      <c r="T295" s="685">
        <f t="shared" si="278"/>
        <v>0</v>
      </c>
      <c r="U295" s="685">
        <f t="shared" si="284"/>
        <v>0</v>
      </c>
      <c r="V295" s="685">
        <f t="shared" si="285"/>
        <v>0</v>
      </c>
      <c r="W295" s="684">
        <f t="shared" si="286"/>
        <v>7.0610184366159957E-17</v>
      </c>
      <c r="X295" s="682">
        <f t="shared" si="279"/>
        <v>0</v>
      </c>
      <c r="Y295" s="552"/>
      <c r="Z295" s="552"/>
      <c r="AA295" s="151"/>
    </row>
    <row r="296" spans="1:27" s="220" customFormat="1" x14ac:dyDescent="0.25">
      <c r="A296" s="105" t="s">
        <v>483</v>
      </c>
      <c r="B296" s="159"/>
      <c r="C296" s="569">
        <f t="shared" si="280"/>
        <v>0</v>
      </c>
      <c r="D296" s="159"/>
      <c r="E296" s="569">
        <f t="shared" si="281"/>
        <v>0</v>
      </c>
      <c r="F296" s="159"/>
      <c r="G296" s="569">
        <f t="shared" si="282"/>
        <v>0</v>
      </c>
      <c r="H296" s="548"/>
      <c r="I296" s="569">
        <f t="shared" si="287"/>
        <v>1.0658141036401503E-14</v>
      </c>
      <c r="J296" s="548"/>
      <c r="K296" s="688"/>
      <c r="L296" s="569">
        <f t="shared" si="288"/>
        <v>0</v>
      </c>
      <c r="M296" s="690"/>
      <c r="N296" s="569">
        <f t="shared" si="277"/>
        <v>7.0610184366159957E-17</v>
      </c>
      <c r="O296" s="569">
        <f t="shared" si="289"/>
        <v>2</v>
      </c>
      <c r="P296" s="690"/>
      <c r="Q296" s="569">
        <f t="shared" si="283"/>
        <v>1.325E-2</v>
      </c>
      <c r="R296" s="569"/>
      <c r="S296" s="569"/>
      <c r="T296" s="686">
        <f t="shared" si="278"/>
        <v>0</v>
      </c>
      <c r="U296" s="686">
        <f t="shared" si="284"/>
        <v>0</v>
      </c>
      <c r="V296" s="686">
        <f t="shared" si="285"/>
        <v>0</v>
      </c>
      <c r="W296" s="687">
        <f t="shared" si="286"/>
        <v>7.0610184366159957E-17</v>
      </c>
      <c r="X296" s="683">
        <f t="shared" si="279"/>
        <v>0</v>
      </c>
      <c r="Y296" s="571"/>
      <c r="Z296" s="571"/>
      <c r="AA296" s="219"/>
    </row>
    <row r="297" spans="1:27" s="94" customFormat="1" x14ac:dyDescent="0.25">
      <c r="A297" s="567" t="s">
        <v>258</v>
      </c>
      <c r="B297" s="566">
        <f>SUM(B285:B296)</f>
        <v>0</v>
      </c>
      <c r="C297" s="566">
        <f>C296</f>
        <v>0</v>
      </c>
      <c r="D297" s="566">
        <f>SUM(D285:D296)</f>
        <v>0</v>
      </c>
      <c r="E297" s="566">
        <f>E296</f>
        <v>0</v>
      </c>
      <c r="F297" s="566">
        <f>SUM(F285:F296)</f>
        <v>0</v>
      </c>
      <c r="G297" s="566">
        <f>G296</f>
        <v>0</v>
      </c>
      <c r="H297" s="566">
        <f>SUM(H285:H296)</f>
        <v>0</v>
      </c>
      <c r="I297" s="566">
        <f>I296</f>
        <v>1.0658141036401503E-14</v>
      </c>
      <c r="J297" s="566">
        <f>SUM(J285:J296)</f>
        <v>0</v>
      </c>
      <c r="K297" s="566">
        <f>SUM(K285:K296)</f>
        <v>0</v>
      </c>
      <c r="L297" s="566">
        <f>L296</f>
        <v>0</v>
      </c>
      <c r="M297" s="566">
        <f>SUM(M285:M296)</f>
        <v>0</v>
      </c>
      <c r="N297" s="566">
        <f>SUM(N285:N296)</f>
        <v>8.4732221239391953E-16</v>
      </c>
      <c r="O297" s="565"/>
      <c r="P297" s="566">
        <f>SUM(P285:P296)</f>
        <v>0</v>
      </c>
      <c r="Q297" s="566">
        <f>SUM(Q285:Q296)</f>
        <v>0.15900000000000003</v>
      </c>
      <c r="R297" s="566"/>
      <c r="S297" s="566">
        <f>N297+Q297</f>
        <v>0.15900000000000089</v>
      </c>
      <c r="T297" s="566">
        <f>SUM(T285:T296)</f>
        <v>0</v>
      </c>
      <c r="U297" s="566">
        <f>SUM(U285:U296)</f>
        <v>0</v>
      </c>
      <c r="V297" s="566">
        <f>SUM(V285:V296)</f>
        <v>0</v>
      </c>
      <c r="W297" s="566">
        <f>SUM(W285:W296)</f>
        <v>8.4732221239391953E-16</v>
      </c>
      <c r="X297" s="566">
        <f>SUM(X285:X296)</f>
        <v>0</v>
      </c>
      <c r="Y297" s="552"/>
      <c r="Z297" s="552"/>
      <c r="AA297" s="151"/>
    </row>
    <row r="298" spans="1:27" s="94" customFormat="1" x14ac:dyDescent="0.25">
      <c r="A298" s="95"/>
      <c r="B298" s="96"/>
      <c r="C298" s="97"/>
      <c r="D298" s="96"/>
      <c r="E298" s="97"/>
      <c r="F298" s="96"/>
      <c r="G298" s="97"/>
      <c r="H298" s="96"/>
      <c r="I298" s="97"/>
      <c r="J298" s="97"/>
      <c r="K298" s="96"/>
      <c r="L298" s="97"/>
      <c r="M298" s="96"/>
      <c r="N298" s="96"/>
      <c r="O298" s="97"/>
      <c r="P298" s="97"/>
      <c r="Q298" s="96"/>
      <c r="R298" s="96"/>
      <c r="S298" s="96"/>
      <c r="T298" s="96"/>
      <c r="U298" s="96"/>
      <c r="V298" s="96"/>
      <c r="W298" s="96"/>
      <c r="X298" s="96"/>
      <c r="Y298" s="552"/>
      <c r="Z298" s="552"/>
      <c r="AA298" s="151"/>
    </row>
    <row r="299" spans="1:27" s="94" customFormat="1" x14ac:dyDescent="0.25">
      <c r="A299" s="567" t="s">
        <v>821</v>
      </c>
      <c r="B299" s="566">
        <f>SUM(B297,B283,B269,B255,B241,B227,B213,B199,B185,B171,B157,B143,B129,B115,B101,B87,B73,B59,B45,B31)</f>
        <v>0</v>
      </c>
      <c r="C299" s="566"/>
      <c r="D299" s="566">
        <f>SUM(D297,D283,D269,D255,D241,D227,D213,D199,D185,D171,D157,D143,D129,D115,D101,D87,D73,D59,D45,D31)</f>
        <v>0</v>
      </c>
      <c r="E299" s="566"/>
      <c r="F299" s="566">
        <f>SUM(F297,F283,F269,F255,F241,F227,F213,F199,F185,F171,F157,F143,F129,F115,F101,F87,F73,F59,F45,F31)</f>
        <v>0</v>
      </c>
      <c r="G299" s="566"/>
      <c r="H299" s="566">
        <f>SUM(H297,H283,H269,H255,H241,H227,H213,H199,H185,H171,H157,H143,H129,H115,H101,H87,H73,H59,H45,H31)</f>
        <v>12</v>
      </c>
      <c r="I299" s="566"/>
      <c r="J299" s="566">
        <f>SUM(J297,J283,J269,J255,J241,J227,J213,J199,J185,J171,J157,J143,J129,J115,J101,J87,J73,J59,J45,J31)</f>
        <v>12</v>
      </c>
      <c r="K299" s="566">
        <f>SUM(K297,K283,K269,K255,K241,K227,K213,K199,K185,K171,K157,K143,K129,K115,K101,K87,K73,K59,K45,K31)</f>
        <v>0</v>
      </c>
      <c r="L299" s="566"/>
      <c r="M299" s="566">
        <f>SUM(M297,M283,M269,M255,M241,M227,M213,M199,M185,M171,M157,M143,M129,M115,M101,M87,M73,M59,M45,M31)</f>
        <v>0</v>
      </c>
      <c r="N299" s="566">
        <f>SUM(N297,N283,N269,N255,N241,N227,N213,N199,N185,N171,N157,N143,N129,N115,N101,N87,N73,N59,N45,N31)</f>
        <v>4.302540000000012</v>
      </c>
      <c r="O299" s="566"/>
      <c r="P299" s="566"/>
      <c r="Q299" s="566">
        <f>SUM(Q297,Q283,Q269,Q255,Q241,Q227,Q213,Q199,Q185,Q171,Q157,Q143,Q129,Q115,Q101,Q87,Q73,Q59,Q45,Q31)</f>
        <v>2.4777499999999999</v>
      </c>
      <c r="R299" s="566"/>
      <c r="S299" s="566">
        <f t="shared" ref="S299:X299" si="290">SUM(S297,S283,S269,S255,S241,S227,S213,S199,S185,S171,S157,S143,S129,S115,S101,S87,S73,S59,S45,S31)</f>
        <v>6.7802900000000124</v>
      </c>
      <c r="T299" s="566">
        <f t="shared" si="290"/>
        <v>0</v>
      </c>
      <c r="U299" s="566">
        <f t="shared" si="290"/>
        <v>0</v>
      </c>
      <c r="V299" s="566">
        <f t="shared" si="290"/>
        <v>0</v>
      </c>
      <c r="W299" s="566">
        <f t="shared" si="290"/>
        <v>4.302540000000012</v>
      </c>
      <c r="X299" s="566">
        <f t="shared" si="290"/>
        <v>0</v>
      </c>
      <c r="Y299" s="552"/>
      <c r="Z299" s="552"/>
      <c r="AA299" s="151"/>
    </row>
    <row r="300" spans="1:27" s="94" customFormat="1" x14ac:dyDescent="0.25">
      <c r="A300" s="568"/>
      <c r="B300" s="551"/>
      <c r="C300" s="551"/>
      <c r="D300" s="551"/>
      <c r="E300" s="551"/>
      <c r="F300" s="551"/>
      <c r="G300" s="551"/>
      <c r="H300" s="551"/>
      <c r="I300" s="551"/>
      <c r="J300" s="551"/>
      <c r="K300" s="551"/>
      <c r="L300" s="551"/>
      <c r="M300" s="551"/>
      <c r="N300" s="551"/>
      <c r="O300" s="551"/>
      <c r="P300" s="551"/>
      <c r="Q300" s="551"/>
      <c r="R300" s="551"/>
      <c r="S300" s="551"/>
      <c r="T300" s="551"/>
      <c r="U300" s="551"/>
      <c r="V300" s="551"/>
      <c r="W300" s="551"/>
      <c r="X300" s="551"/>
      <c r="Y300" s="552"/>
      <c r="Z300" s="552"/>
      <c r="AA300" s="151"/>
    </row>
    <row r="302" spans="1:27" hidden="1" x14ac:dyDescent="0.25">
      <c r="A302" s="129" t="s">
        <v>781</v>
      </c>
    </row>
    <row r="303" spans="1:27" hidden="1" x14ac:dyDescent="0.25"/>
  </sheetData>
  <protectedRanges>
    <protectedRange sqref="L17 E17 C17 G17 I17 T17:X17" name="Range2"/>
    <protectedRange sqref="O16" name="Range3"/>
    <protectedRange sqref="Q16" name="Range4"/>
    <protectedRange sqref="R16" name="Range5"/>
    <protectedRange sqref="B47:B58 B33:B44 B19:B30 K19:K30 K33:K44 B61:B72 B75:B86 B89:B100 B103:B114 B117:B128 B131:B142 B145:B156 B159:B170 B173:B184 B187:B198 B201:B212 K47:K58 K61:K72 K75:K86 K89:K100 K103:K114 K117:K128 K131:K142 K145:K156 K159:K170 K173:K184 K187:K198 K201:K212 D47:D58 D33:D44 D19:D30 D61:D72 D75:D86 D89:D100 D103:D114 D117:D128 D131:D142 D145:D156 D159:D170 D173:D184 D187:D198 D201:D212 F47:F58 F33:F44 F19:F30 F61:F72 F75:F86 F89:F100 F103:F114 F117:F128 F131:F142 F145:F156 F159:F170 F173:F184 F187:F198 F201:F212 H47:H58 H33:H44 H19:H30 H61:H72 H75:H86 H173:H184 H187:H198 H201:H212 B215:B226 K215:K226 D215:D226 F215:F226 H215:H226 B229:B240 K229:K240 D229:D240 F229:F240 H229:H240 B243:B254 K243:K254 D243:D254 F243:F254 H243:H254 B257:B268 K257:K268 D257:D268 F257:F268 H257:H268 B271:B282 K271:K282 D271:D282 F271:F282 H271:H282 B285:B296 K285:K296 D285:D296 F285:F296 H285:H296 B5:U5 H89:H100 H103:H114 H117:H128 H131:H142 H145:H156 H159:H170" name="Range6"/>
    <protectedRange sqref="M201:M212 M19:M30 M33:M44 M47:M58 M61:M72 M75:M86 M89:M100 M103:M114 M117:M128 M131:M142 M145:M156 M159:M170 M173:M184 M187:M198 P19:P30 P33:P44 P47:P58 P61:P72 P75:P86 P89:P100 P103:P114 P117:P128 P131:P142 P145:P156 P159:P170 P173:P184 P187:P198 P201:P212 J19:J30 J33:J44 J47:J58 J61:J72 J75:J86 J89:J100 J103:J114 J117:J128 J131:J142 J145:J156 J159:J170 J173:J184 J187:J198 J201:J212 M215:M226 P215:P226 J215:J226 M229:M240 P229:P240 J229:J240 M243:M254 P243:P254 J243:J254 M257:M268 P257:P268 J257:J268 M271:M282 P271:P282 J271:J282 M285:M296 P285:P296 J285:J296" name="Range7"/>
  </protectedRanges>
  <mergeCells count="21">
    <mergeCell ref="W14:W17"/>
    <mergeCell ref="D14:E14"/>
    <mergeCell ref="T14:T17"/>
    <mergeCell ref="S7:S8"/>
    <mergeCell ref="R7:R8"/>
    <mergeCell ref="O14:R14"/>
    <mergeCell ref="S14:S16"/>
    <mergeCell ref="A13:X13"/>
    <mergeCell ref="B15:B16"/>
    <mergeCell ref="B14:C14"/>
    <mergeCell ref="X14:X17"/>
    <mergeCell ref="U14:U17"/>
    <mergeCell ref="N14:N16"/>
    <mergeCell ref="L15:L16"/>
    <mergeCell ref="K14:M14"/>
    <mergeCell ref="D15:D16"/>
    <mergeCell ref="V14:V17"/>
    <mergeCell ref="F14:G14"/>
    <mergeCell ref="H14:J14"/>
    <mergeCell ref="I15:I16"/>
    <mergeCell ref="F15:F16"/>
  </mergeCells>
  <phoneticPr fontId="0" type="noConversion"/>
  <conditionalFormatting sqref="A13">
    <cfRule type="containsText" dxfId="89" priority="18" stopIfTrue="1" operator="containsText" text="There is a diff">
      <formula>NOT(ISERROR(SEARCH("There is a diff",A13)))</formula>
    </cfRule>
  </conditionalFormatting>
  <conditionalFormatting sqref="C16">
    <cfRule type="cellIs" dxfId="88" priority="17" stopIfTrue="1" operator="greaterThan">
      <formula>0</formula>
    </cfRule>
  </conditionalFormatting>
  <conditionalFormatting sqref="E16">
    <cfRule type="cellIs" dxfId="87" priority="16" stopIfTrue="1" operator="greaterThan">
      <formula>0</formula>
    </cfRule>
  </conditionalFormatting>
  <conditionalFormatting sqref="G16">
    <cfRule type="cellIs" dxfId="86" priority="15" stopIfTrue="1" operator="greaterThan">
      <formula>0</formula>
    </cfRule>
  </conditionalFormatting>
  <conditionalFormatting sqref="H16">
    <cfRule type="cellIs" dxfId="85" priority="14" stopIfTrue="1" operator="greaterThan">
      <formula>0</formula>
    </cfRule>
  </conditionalFormatting>
  <conditionalFormatting sqref="J16">
    <cfRule type="cellIs" dxfId="84" priority="12" stopIfTrue="1" operator="greaterThan">
      <formula>0</formula>
    </cfRule>
    <cfRule type="cellIs" dxfId="83" priority="13" stopIfTrue="1" operator="greaterThan">
      <formula>0</formula>
    </cfRule>
  </conditionalFormatting>
  <conditionalFormatting sqref="K16">
    <cfRule type="cellIs" dxfId="82" priority="11" stopIfTrue="1" operator="greaterThan">
      <formula>0</formula>
    </cfRule>
  </conditionalFormatting>
  <conditionalFormatting sqref="M16">
    <cfRule type="cellIs" dxfId="81" priority="10" stopIfTrue="1" operator="greaterThan">
      <formula>0</formula>
    </cfRule>
  </conditionalFormatting>
  <conditionalFormatting sqref="P16">
    <cfRule type="cellIs" dxfId="80" priority="9" stopIfTrue="1" operator="greaterThan">
      <formula>0</formula>
    </cfRule>
  </conditionalFormatting>
  <conditionalFormatting sqref="O16">
    <cfRule type="cellIs" dxfId="79" priority="8" stopIfTrue="1" operator="greaterThan">
      <formula>0</formula>
    </cfRule>
  </conditionalFormatting>
  <conditionalFormatting sqref="Q16">
    <cfRule type="cellIs" dxfId="78" priority="7" stopIfTrue="1" operator="greaterThan">
      <formula>0</formula>
    </cfRule>
  </conditionalFormatting>
  <conditionalFormatting sqref="R16">
    <cfRule type="cellIs" dxfId="77" priority="6" stopIfTrue="1" operator="greaterThan">
      <formula>0</formula>
    </cfRule>
  </conditionalFormatting>
  <conditionalFormatting sqref="C17">
    <cfRule type="cellIs" dxfId="76" priority="5" stopIfTrue="1" operator="greaterThan">
      <formula>0</formula>
    </cfRule>
  </conditionalFormatting>
  <conditionalFormatting sqref="E17">
    <cfRule type="cellIs" dxfId="75" priority="4" stopIfTrue="1" operator="greaterThan">
      <formula>0</formula>
    </cfRule>
  </conditionalFormatting>
  <conditionalFormatting sqref="G17">
    <cfRule type="cellIs" dxfId="74" priority="3" stopIfTrue="1" operator="greaterThan">
      <formula>0</formula>
    </cfRule>
  </conditionalFormatting>
  <conditionalFormatting sqref="I17">
    <cfRule type="cellIs" dxfId="73" priority="2" stopIfTrue="1" operator="greaterThan">
      <formula>0</formula>
    </cfRule>
  </conditionalFormatting>
  <conditionalFormatting sqref="L17">
    <cfRule type="cellIs" dxfId="72" priority="1" stopIfTrue="1" operator="greaterThan">
      <formula>0</formula>
    </cfRule>
  </conditionalFormatting>
  <pageMargins left="0.7" right="0.7" top="0.75" bottom="0.75" header="0.3" footer="0.3"/>
  <pageSetup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V162"/>
  <sheetViews>
    <sheetView zoomScale="85" zoomScaleNormal="85" workbookViewId="0">
      <selection activeCell="J18" sqref="J18"/>
    </sheetView>
  </sheetViews>
  <sheetFormatPr defaultColWidth="10.42578125" defaultRowHeight="15" x14ac:dyDescent="0.25"/>
  <cols>
    <col min="1" max="1" width="32.85546875" style="223" customWidth="1"/>
    <col min="2" max="3" width="10.7109375" style="223" customWidth="1"/>
    <col min="4" max="8" width="10.7109375" style="254" customWidth="1"/>
    <col min="9" max="9" width="10.7109375" style="251" customWidth="1"/>
    <col min="10" max="11" width="10.7109375" style="223" customWidth="1"/>
    <col min="12" max="12" width="10.7109375" style="226" customWidth="1"/>
    <col min="13" max="21" width="10.7109375" style="223" customWidth="1"/>
    <col min="22" max="22" width="10.42578125" style="252" customWidth="1"/>
    <col min="23" max="16384" width="10.42578125" style="223"/>
  </cols>
  <sheetData>
    <row r="1" spans="1:22" s="225" customFormat="1" ht="16.5" customHeight="1" x14ac:dyDescent="0.25">
      <c r="A1" s="224" t="s">
        <v>768</v>
      </c>
      <c r="B1" s="80">
        <f>B8</f>
        <v>2020</v>
      </c>
      <c r="C1" s="80">
        <f t="shared" ref="C1:O1" si="0">C8</f>
        <v>2021</v>
      </c>
      <c r="D1" s="80">
        <f t="shared" si="0"/>
        <v>2022</v>
      </c>
      <c r="E1" s="80">
        <f t="shared" si="0"/>
        <v>2023</v>
      </c>
      <c r="F1" s="80">
        <f t="shared" si="0"/>
        <v>2024</v>
      </c>
      <c r="G1" s="80">
        <f t="shared" si="0"/>
        <v>2025</v>
      </c>
      <c r="H1" s="80">
        <f t="shared" si="0"/>
        <v>2026</v>
      </c>
      <c r="I1" s="80">
        <f t="shared" si="0"/>
        <v>2027</v>
      </c>
      <c r="J1" s="80">
        <f t="shared" si="0"/>
        <v>2028</v>
      </c>
      <c r="K1" s="80">
        <f t="shared" si="0"/>
        <v>2029</v>
      </c>
      <c r="L1" s="80">
        <f t="shared" si="0"/>
        <v>2030</v>
      </c>
      <c r="M1" s="80">
        <f t="shared" si="0"/>
        <v>2031</v>
      </c>
      <c r="N1" s="80">
        <f t="shared" si="0"/>
        <v>2032</v>
      </c>
      <c r="O1" s="80">
        <f t="shared" si="0"/>
        <v>2033</v>
      </c>
      <c r="P1" s="80">
        <f t="shared" ref="P1:U1" si="1">P8</f>
        <v>2034</v>
      </c>
      <c r="Q1" s="80">
        <f t="shared" si="1"/>
        <v>2035</v>
      </c>
      <c r="R1" s="80">
        <f t="shared" si="1"/>
        <v>2036</v>
      </c>
      <c r="S1" s="80">
        <f t="shared" si="1"/>
        <v>2037</v>
      </c>
      <c r="T1" s="80">
        <f t="shared" si="1"/>
        <v>2038</v>
      </c>
      <c r="U1" s="80">
        <f t="shared" si="1"/>
        <v>2039</v>
      </c>
      <c r="V1" s="982" t="s">
        <v>258</v>
      </c>
    </row>
    <row r="2" spans="1:22" x14ac:dyDescent="0.25">
      <c r="A2" s="572" t="s">
        <v>608</v>
      </c>
      <c r="B2" s="573">
        <f>IF('Ratio New'!B35="",0,'Ratio New'!B35)</f>
        <v>9.9999999999999978E-2</v>
      </c>
      <c r="C2" s="573">
        <f>IF('Ratio New'!C35="",0,'Ratio New'!C35)</f>
        <v>0.11</v>
      </c>
      <c r="D2" s="573">
        <f>IF('Ratio New'!D35="",0,'Ratio New'!D35)</f>
        <v>0.2900000000000002</v>
      </c>
      <c r="E2" s="573">
        <f>IF('Ratio New'!E35="",0,'Ratio New'!E35)</f>
        <v>0.23699999999999988</v>
      </c>
      <c r="F2" s="573">
        <f>IF('Ratio New'!F35="",0,'Ratio New'!F35)</f>
        <v>2.1500000000000004</v>
      </c>
      <c r="G2" s="573">
        <f>IF('Ratio New'!G35="",0,'Ratio New'!G35)</f>
        <v>3.6975075000000017</v>
      </c>
      <c r="H2" s="573">
        <f>IF('Ratio New'!H35="",0,'Ratio New'!H35)</f>
        <v>3.8074090000000012</v>
      </c>
      <c r="I2" s="573">
        <f>IF('Ratio New'!I35="",0,'Ratio New'!I35)</f>
        <v>3.7217272499999998</v>
      </c>
      <c r="J2" s="573">
        <f>IF('Ratio New'!J35="",0,'Ratio New'!J35)</f>
        <v>3.6610794999999956</v>
      </c>
      <c r="K2" s="573">
        <f>IF('Ratio New'!K35="",0,'Ratio New'!K35)</f>
        <v>3.6484050000000003</v>
      </c>
      <c r="L2" s="573">
        <f>IF('Ratio New'!L35="",0,'Ratio New'!L35)</f>
        <v>3.7892687499999989</v>
      </c>
      <c r="M2" s="573">
        <f>IF('Ratio New'!M35="",0,'Ratio New'!M35)</f>
        <v>0</v>
      </c>
      <c r="N2" s="573">
        <f>IF('Ratio New'!N35="",0,'Ratio New'!N35)</f>
        <v>0</v>
      </c>
      <c r="O2" s="573">
        <f>IF('Ratio New'!O35="",0,'Ratio New'!O35)</f>
        <v>0</v>
      </c>
      <c r="P2" s="573">
        <f>IF('Ratio New'!P35="",0,'Ratio New'!P35)</f>
        <v>0</v>
      </c>
      <c r="Q2" s="573">
        <f>IF('Ratio New'!Q35="",0,'Ratio New'!Q35)</f>
        <v>0</v>
      </c>
      <c r="R2" s="573">
        <f>IF('Ratio New'!R35="",0,'Ratio New'!R35)</f>
        <v>0</v>
      </c>
      <c r="S2" s="573">
        <f>IF('Ratio New'!S35="",0,'Ratio New'!S35)</f>
        <v>0</v>
      </c>
      <c r="T2" s="573">
        <f>IF('Ratio New'!T35="",0,'Ratio New'!T35)</f>
        <v>0</v>
      </c>
      <c r="U2" s="573">
        <f>IF('Ratio New'!U35="",0,'Ratio New'!U35)</f>
        <v>0</v>
      </c>
      <c r="V2" s="983"/>
    </row>
    <row r="3" spans="1:22" s="226" customFormat="1" x14ac:dyDescent="0.25">
      <c r="A3" s="572" t="s">
        <v>614</v>
      </c>
      <c r="B3" s="573">
        <f>'INTT &amp; REPAY'!B3</f>
        <v>0</v>
      </c>
      <c r="C3" s="573">
        <f>'INTT &amp; REPAY'!C3</f>
        <v>0</v>
      </c>
      <c r="D3" s="573">
        <f>'INTT &amp; REPAY'!D3</f>
        <v>0</v>
      </c>
      <c r="E3" s="573">
        <f>'INTT &amp; REPAY'!E3</f>
        <v>3.9750000000000001E-2</v>
      </c>
      <c r="F3" s="573">
        <f>'INTT &amp; REPAY'!F3</f>
        <v>0.87450000000000006</v>
      </c>
      <c r="G3" s="573">
        <f>'INTT &amp; REPAY'!G3</f>
        <v>0.91027500000000028</v>
      </c>
      <c r="H3" s="573">
        <f>'INTT &amp; REPAY'!H3</f>
        <v>0.80613000000000079</v>
      </c>
      <c r="I3" s="573">
        <f>'INTT &amp; REPAY'!I3</f>
        <v>0.67853250000000098</v>
      </c>
      <c r="J3" s="573">
        <f>'INTT &amp; REPAY'!J3</f>
        <v>0.52231500000000097</v>
      </c>
      <c r="K3" s="573">
        <f>'INTT &amp; REPAY'!K3</f>
        <v>0.34185000000000093</v>
      </c>
      <c r="L3" s="573">
        <f>'INTT &amp; REPAY'!L3</f>
        <v>0.12918750000000087</v>
      </c>
      <c r="M3" s="573">
        <f>'INTT &amp; REPAY'!M3</f>
        <v>0</v>
      </c>
      <c r="N3" s="573">
        <f>'INTT &amp; REPAY'!N3</f>
        <v>0</v>
      </c>
      <c r="O3" s="573">
        <f>'INTT &amp; REPAY'!O3</f>
        <v>0</v>
      </c>
      <c r="P3" s="573">
        <f>'INTT &amp; REPAY'!P3</f>
        <v>0</v>
      </c>
      <c r="Q3" s="573">
        <f>'INTT &amp; REPAY'!Q3</f>
        <v>0</v>
      </c>
      <c r="R3" s="573">
        <f>'INTT &amp; REPAY'!R3</f>
        <v>0</v>
      </c>
      <c r="S3" s="573">
        <f>'INTT &amp; REPAY'!S3</f>
        <v>0</v>
      </c>
      <c r="T3" s="573">
        <f>'INTT &amp; REPAY'!T3</f>
        <v>0</v>
      </c>
      <c r="U3" s="573">
        <f>'INTT &amp; REPAY'!U3</f>
        <v>0</v>
      </c>
      <c r="V3" s="984">
        <f>SUM(B3:U3)</f>
        <v>4.3025400000000049</v>
      </c>
    </row>
    <row r="4" spans="1:22" ht="23.25" customHeight="1" x14ac:dyDescent="0.25">
      <c r="A4" s="574" t="s">
        <v>763</v>
      </c>
      <c r="B4" s="575"/>
      <c r="C4" s="575"/>
      <c r="D4" s="576"/>
      <c r="E4" s="576"/>
      <c r="F4" s="576"/>
      <c r="G4" s="576"/>
      <c r="H4" s="576"/>
      <c r="I4" s="576"/>
      <c r="J4" s="575"/>
      <c r="K4" s="575"/>
      <c r="L4" s="574"/>
      <c r="M4" s="575"/>
      <c r="N4" s="575"/>
      <c r="O4" s="577"/>
      <c r="P4" s="577"/>
      <c r="Q4" s="577"/>
      <c r="R4" s="577"/>
      <c r="S4" s="577"/>
      <c r="T4" s="577"/>
      <c r="U4" s="577"/>
      <c r="V4" s="983"/>
    </row>
    <row r="5" spans="1:22" x14ac:dyDescent="0.25">
      <c r="A5" s="792" t="s">
        <v>616</v>
      </c>
      <c r="B5" s="227"/>
      <c r="C5" s="227"/>
      <c r="D5" s="227"/>
      <c r="E5" s="227"/>
      <c r="F5" s="227"/>
      <c r="G5" s="227"/>
      <c r="H5" s="227"/>
      <c r="I5" s="227"/>
      <c r="J5" s="227"/>
      <c r="K5" s="227"/>
      <c r="L5" s="227"/>
      <c r="M5" s="227"/>
      <c r="N5" s="227"/>
      <c r="O5" s="227"/>
      <c r="P5" s="227"/>
      <c r="Q5" s="227"/>
      <c r="R5" s="227"/>
      <c r="S5" s="227"/>
      <c r="T5" s="227"/>
      <c r="U5" s="227"/>
      <c r="V5" s="984"/>
    </row>
    <row r="6" spans="1:22" s="226" customFormat="1" x14ac:dyDescent="0.25">
      <c r="A6" s="792" t="s">
        <v>617</v>
      </c>
      <c r="B6" s="227"/>
      <c r="C6" s="227"/>
      <c r="D6" s="227"/>
      <c r="E6" s="227"/>
      <c r="F6" s="227"/>
      <c r="G6" s="227"/>
      <c r="H6" s="227"/>
      <c r="I6" s="227"/>
      <c r="J6" s="227"/>
      <c r="K6" s="227"/>
      <c r="L6" s="227"/>
      <c r="M6" s="227"/>
      <c r="N6" s="227"/>
      <c r="O6" s="227"/>
      <c r="P6" s="227"/>
      <c r="Q6" s="227"/>
      <c r="R6" s="227"/>
      <c r="S6" s="227"/>
      <c r="T6" s="227"/>
      <c r="U6" s="227"/>
      <c r="V6" s="984"/>
    </row>
    <row r="7" spans="1:22" x14ac:dyDescent="0.25">
      <c r="A7" s="575"/>
      <c r="B7" s="575"/>
      <c r="C7" s="575"/>
      <c r="D7" s="576"/>
      <c r="E7" s="576"/>
      <c r="F7" s="576"/>
      <c r="G7" s="576"/>
      <c r="H7" s="576"/>
      <c r="I7" s="576"/>
      <c r="J7" s="575"/>
      <c r="K7" s="575"/>
      <c r="L7" s="574"/>
      <c r="M7" s="575"/>
      <c r="N7" s="575"/>
      <c r="O7" s="578"/>
      <c r="P7" s="578"/>
      <c r="Q7" s="578"/>
      <c r="R7" s="578"/>
      <c r="S7" s="578"/>
      <c r="T7" s="578"/>
      <c r="U7" s="578"/>
      <c r="V7" s="983"/>
    </row>
    <row r="8" spans="1:22" s="225" customFormat="1" ht="16.5" customHeight="1" x14ac:dyDescent="0.25">
      <c r="A8" s="224" t="s">
        <v>768</v>
      </c>
      <c r="B8" s="80">
        <f>'Oper.St.'!C11</f>
        <v>2020</v>
      </c>
      <c r="C8" s="80">
        <f>'Oper.St.'!D11</f>
        <v>2021</v>
      </c>
      <c r="D8" s="80">
        <f>'Oper.St.'!E11</f>
        <v>2022</v>
      </c>
      <c r="E8" s="80">
        <f>'Oper.St.'!F11</f>
        <v>2023</v>
      </c>
      <c r="F8" s="80">
        <f>'Oper.St.'!G11</f>
        <v>2024</v>
      </c>
      <c r="G8" s="80">
        <f>'Oper.St.'!H11</f>
        <v>2025</v>
      </c>
      <c r="H8" s="80">
        <f>'Oper.St.'!I11</f>
        <v>2026</v>
      </c>
      <c r="I8" s="80">
        <f>'Oper.St.'!J11</f>
        <v>2027</v>
      </c>
      <c r="J8" s="80">
        <f>'Oper.St.'!K11</f>
        <v>2028</v>
      </c>
      <c r="K8" s="80">
        <f>'Oper.St.'!L11</f>
        <v>2029</v>
      </c>
      <c r="L8" s="80">
        <f>'Oper.St.'!M11</f>
        <v>2030</v>
      </c>
      <c r="M8" s="80">
        <f>'Oper.St.'!N11</f>
        <v>2031</v>
      </c>
      <c r="N8" s="80">
        <f>'Oper.St.'!O11</f>
        <v>2032</v>
      </c>
      <c r="O8" s="80">
        <f>'Oper.St.'!P11</f>
        <v>2033</v>
      </c>
      <c r="P8" s="80">
        <f>'Oper.St.'!Q11</f>
        <v>2034</v>
      </c>
      <c r="Q8" s="80">
        <f>'Oper.St.'!R11</f>
        <v>2035</v>
      </c>
      <c r="R8" s="80">
        <f>'Oper.St.'!S11</f>
        <v>2036</v>
      </c>
      <c r="S8" s="80">
        <f>'Oper.St.'!T11</f>
        <v>2037</v>
      </c>
      <c r="T8" s="80">
        <f>'Oper.St.'!U11</f>
        <v>2038</v>
      </c>
      <c r="U8" s="80">
        <f>'Oper.St.'!V11</f>
        <v>2039</v>
      </c>
      <c r="V8" s="982" t="s">
        <v>258</v>
      </c>
    </row>
    <row r="9" spans="1:22" s="225" customFormat="1" ht="16.5" customHeight="1" x14ac:dyDescent="0.25">
      <c r="A9" s="224"/>
      <c r="B9" s="80" t="str">
        <f>'Oper.St.'!C12</f>
        <v>AUD.</v>
      </c>
      <c r="C9" s="80" t="str">
        <f>'Oper.St.'!D12</f>
        <v>AUD.</v>
      </c>
      <c r="D9" s="80" t="str">
        <f>'Oper.St.'!E12</f>
        <v>AUD.</v>
      </c>
      <c r="E9" s="80" t="str">
        <f>'Oper.St.'!F12</f>
        <v>EST.</v>
      </c>
      <c r="F9" s="80" t="str">
        <f>'Oper.St.'!G12</f>
        <v>PROJ.</v>
      </c>
      <c r="G9" s="80" t="str">
        <f>'Oper.St.'!H12</f>
        <v>PROJ.</v>
      </c>
      <c r="H9" s="80" t="str">
        <f>'Oper.St.'!I12</f>
        <v>PROJ.</v>
      </c>
      <c r="I9" s="80" t="str">
        <f>'Oper.St.'!J12</f>
        <v>PROJ.</v>
      </c>
      <c r="J9" s="80" t="str">
        <f>'Oper.St.'!K12</f>
        <v>PROJ.</v>
      </c>
      <c r="K9" s="80" t="str">
        <f>'Oper.St.'!L12</f>
        <v>PROJ.</v>
      </c>
      <c r="L9" s="80" t="str">
        <f>'Oper.St.'!M12</f>
        <v>PROJ.</v>
      </c>
      <c r="M9" s="80" t="str">
        <f>'Oper.St.'!N12</f>
        <v>PROJ.</v>
      </c>
      <c r="N9" s="80" t="str">
        <f>'Oper.St.'!O12</f>
        <v>PROJ.</v>
      </c>
      <c r="O9" s="80" t="str">
        <f>'Oper.St.'!P12</f>
        <v>PROJ.</v>
      </c>
      <c r="P9" s="80" t="str">
        <f>'Oper.St.'!Q12</f>
        <v>PROJ.</v>
      </c>
      <c r="Q9" s="80" t="str">
        <f>'Oper.St.'!R12</f>
        <v>PROJ.</v>
      </c>
      <c r="R9" s="80" t="str">
        <f>'Oper.St.'!S12</f>
        <v>PROJ.</v>
      </c>
      <c r="S9" s="80" t="str">
        <f>'Oper.St.'!T12</f>
        <v>PROJ.</v>
      </c>
      <c r="T9" s="80" t="str">
        <f>'Oper.St.'!U12</f>
        <v>PROJ.</v>
      </c>
      <c r="U9" s="80" t="str">
        <f>'Oper.St.'!V12</f>
        <v>PROJ.</v>
      </c>
      <c r="V9" s="982"/>
    </row>
    <row r="10" spans="1:22" x14ac:dyDescent="0.25">
      <c r="A10" s="228" t="s">
        <v>353</v>
      </c>
      <c r="B10" s="67">
        <f>'Ratio New'!B7</f>
        <v>0.8</v>
      </c>
      <c r="C10" s="67">
        <f>'Ratio New'!C7</f>
        <v>1.05</v>
      </c>
      <c r="D10" s="67">
        <f>'Ratio New'!D7</f>
        <v>2.2000000000000002</v>
      </c>
      <c r="E10" s="67">
        <f>'Ratio New'!E7</f>
        <v>4</v>
      </c>
      <c r="F10" s="67">
        <f>'Ratio New'!F7</f>
        <v>20</v>
      </c>
      <c r="G10" s="67">
        <f>'Ratio New'!G7</f>
        <v>34.28</v>
      </c>
      <c r="H10" s="67">
        <f>'Ratio New'!H7</f>
        <v>40.42</v>
      </c>
      <c r="I10" s="67">
        <f>'Ratio New'!I7</f>
        <v>44.09</v>
      </c>
      <c r="J10" s="67">
        <f>'Ratio New'!J7</f>
        <v>47.96</v>
      </c>
      <c r="K10" s="67">
        <f>'Ratio New'!K7</f>
        <v>52.03</v>
      </c>
      <c r="L10" s="67">
        <f>'Ratio New'!L7</f>
        <v>56.2</v>
      </c>
      <c r="M10" s="67" t="str">
        <f>'Ratio New'!M7</f>
        <v/>
      </c>
      <c r="N10" s="67" t="str">
        <f>'Ratio New'!N7</f>
        <v/>
      </c>
      <c r="O10" s="67" t="str">
        <f>'Ratio New'!O7</f>
        <v/>
      </c>
      <c r="P10" s="67" t="str">
        <f>'Ratio New'!P7</f>
        <v/>
      </c>
      <c r="Q10" s="67" t="str">
        <f>'Ratio New'!Q7</f>
        <v/>
      </c>
      <c r="R10" s="67" t="str">
        <f>'Ratio New'!R7</f>
        <v/>
      </c>
      <c r="S10" s="67" t="str">
        <f>'Ratio New'!S7</f>
        <v/>
      </c>
      <c r="T10" s="67" t="str">
        <f>'Ratio New'!T7</f>
        <v/>
      </c>
      <c r="U10" s="67" t="str">
        <f>'Ratio New'!U7</f>
        <v/>
      </c>
      <c r="V10" s="983"/>
    </row>
    <row r="11" spans="1:22" x14ac:dyDescent="0.25">
      <c r="A11" s="228" t="s">
        <v>35</v>
      </c>
      <c r="B11" s="229">
        <f>'Ratio New'!B33</f>
        <v>6.9999999999999979E-2</v>
      </c>
      <c r="C11" s="229">
        <f>'Ratio New'!C33</f>
        <v>0.09</v>
      </c>
      <c r="D11" s="229">
        <f>'Ratio New'!D33</f>
        <v>0.27000000000000018</v>
      </c>
      <c r="E11" s="229">
        <f>'Ratio New'!E33</f>
        <v>0.21699999999999989</v>
      </c>
      <c r="F11" s="229">
        <f>'Ratio New'!F33</f>
        <v>0.56000000000000028</v>
      </c>
      <c r="G11" s="229">
        <f>'Ratio New'!G33</f>
        <v>1.1975075000000017</v>
      </c>
      <c r="H11" s="229">
        <f>'Ratio New'!H33</f>
        <v>1.627409000000001</v>
      </c>
      <c r="I11" s="229">
        <f>'Ratio New'!I33</f>
        <v>1.8217272499999999</v>
      </c>
      <c r="J11" s="229">
        <f>'Ratio New'!J33</f>
        <v>2.0010794999999959</v>
      </c>
      <c r="K11" s="229">
        <f>'Ratio New'!K33</f>
        <v>2.2184050000000006</v>
      </c>
      <c r="L11" s="229">
        <f>'Ratio New'!L33</f>
        <v>2.5492687499999991</v>
      </c>
      <c r="M11" s="229" t="str">
        <f>'Ratio New'!M33</f>
        <v/>
      </c>
      <c r="N11" s="229" t="str">
        <f>'Ratio New'!N33</f>
        <v/>
      </c>
      <c r="O11" s="229" t="str">
        <f>'Ratio New'!O33</f>
        <v/>
      </c>
      <c r="P11" s="229" t="str">
        <f>'Ratio New'!P33</f>
        <v/>
      </c>
      <c r="Q11" s="229" t="str">
        <f>'Ratio New'!Q33</f>
        <v/>
      </c>
      <c r="R11" s="229" t="str">
        <f>'Ratio New'!R33</f>
        <v/>
      </c>
      <c r="S11" s="229" t="str">
        <f>'Ratio New'!S33</f>
        <v/>
      </c>
      <c r="T11" s="229" t="str">
        <f>'Ratio New'!T33</f>
        <v/>
      </c>
      <c r="U11" s="229" t="str">
        <f>'Ratio New'!U33</f>
        <v/>
      </c>
      <c r="V11" s="983"/>
    </row>
    <row r="12" spans="1:22" s="226" customFormat="1" x14ac:dyDescent="0.25">
      <c r="A12" s="228" t="s">
        <v>762</v>
      </c>
      <c r="B12" s="229" t="str">
        <f t="shared" ref="B12:H12" si="2">IF(B15="","",(B2+B5))</f>
        <v/>
      </c>
      <c r="C12" s="229" t="str">
        <f t="shared" si="2"/>
        <v/>
      </c>
      <c r="D12" s="229" t="str">
        <f t="shared" si="2"/>
        <v/>
      </c>
      <c r="E12" s="229" t="str">
        <f t="shared" si="2"/>
        <v/>
      </c>
      <c r="F12" s="229" t="str">
        <f t="shared" si="2"/>
        <v/>
      </c>
      <c r="G12" s="229">
        <f t="shared" si="2"/>
        <v>3.6975075000000017</v>
      </c>
      <c r="H12" s="229">
        <f t="shared" si="2"/>
        <v>3.8074090000000012</v>
      </c>
      <c r="I12" s="229">
        <f>IF(I15="","",(I2+I5))</f>
        <v>3.7217272499999998</v>
      </c>
      <c r="J12" s="229">
        <f t="shared" ref="J12:U12" si="3">IF(J15="","",(J2+J5))</f>
        <v>3.6610794999999956</v>
      </c>
      <c r="K12" s="229">
        <f t="shared" si="3"/>
        <v>3.6484050000000003</v>
      </c>
      <c r="L12" s="229">
        <f t="shared" si="3"/>
        <v>3.7892687499999989</v>
      </c>
      <c r="M12" s="229" t="str">
        <f t="shared" si="3"/>
        <v/>
      </c>
      <c r="N12" s="229" t="str">
        <f t="shared" si="3"/>
        <v/>
      </c>
      <c r="O12" s="229" t="str">
        <f t="shared" si="3"/>
        <v/>
      </c>
      <c r="P12" s="229" t="str">
        <f t="shared" si="3"/>
        <v/>
      </c>
      <c r="Q12" s="229" t="str">
        <f t="shared" si="3"/>
        <v/>
      </c>
      <c r="R12" s="229" t="str">
        <f t="shared" si="3"/>
        <v/>
      </c>
      <c r="S12" s="229" t="str">
        <f t="shared" si="3"/>
        <v/>
      </c>
      <c r="T12" s="229" t="str">
        <f t="shared" si="3"/>
        <v/>
      </c>
      <c r="U12" s="229" t="str">
        <f t="shared" si="3"/>
        <v/>
      </c>
      <c r="V12" s="984">
        <f>SUM(B12:U12)</f>
        <v>22.325396999999995</v>
      </c>
    </row>
    <row r="13" spans="1:22" s="226" customFormat="1" x14ac:dyDescent="0.25">
      <c r="A13" s="228" t="s">
        <v>761</v>
      </c>
      <c r="B13" s="229" t="str">
        <f t="shared" ref="B13:H13" si="4">IF(B15="","",(B3+B6))</f>
        <v/>
      </c>
      <c r="C13" s="229" t="str">
        <f t="shared" si="4"/>
        <v/>
      </c>
      <c r="D13" s="229" t="str">
        <f t="shared" si="4"/>
        <v/>
      </c>
      <c r="E13" s="229" t="str">
        <f t="shared" si="4"/>
        <v/>
      </c>
      <c r="F13" s="229" t="str">
        <f t="shared" si="4"/>
        <v/>
      </c>
      <c r="G13" s="229">
        <f t="shared" si="4"/>
        <v>0.91027500000000028</v>
      </c>
      <c r="H13" s="229">
        <f t="shared" si="4"/>
        <v>0.80613000000000079</v>
      </c>
      <c r="I13" s="229">
        <f>IF(I15="","",(I3+I6))</f>
        <v>0.67853250000000098</v>
      </c>
      <c r="J13" s="229">
        <f t="shared" ref="J13:U13" si="5">IF(J15="","",(J3+J6))</f>
        <v>0.52231500000000097</v>
      </c>
      <c r="K13" s="229">
        <f t="shared" si="5"/>
        <v>0.34185000000000093</v>
      </c>
      <c r="L13" s="229">
        <f t="shared" si="5"/>
        <v>0.12918750000000087</v>
      </c>
      <c r="M13" s="229" t="str">
        <f t="shared" si="5"/>
        <v/>
      </c>
      <c r="N13" s="229" t="str">
        <f t="shared" si="5"/>
        <v/>
      </c>
      <c r="O13" s="229" t="str">
        <f t="shared" si="5"/>
        <v/>
      </c>
      <c r="P13" s="229" t="str">
        <f t="shared" si="5"/>
        <v/>
      </c>
      <c r="Q13" s="229" t="str">
        <f t="shared" si="5"/>
        <v/>
      </c>
      <c r="R13" s="229" t="str">
        <f t="shared" si="5"/>
        <v/>
      </c>
      <c r="S13" s="229" t="str">
        <f t="shared" si="5"/>
        <v/>
      </c>
      <c r="T13" s="229" t="str">
        <f t="shared" si="5"/>
        <v/>
      </c>
      <c r="U13" s="229" t="str">
        <f t="shared" si="5"/>
        <v/>
      </c>
      <c r="V13" s="984"/>
    </row>
    <row r="14" spans="1:22" s="226" customFormat="1" x14ac:dyDescent="0.25">
      <c r="A14" s="228" t="s">
        <v>496</v>
      </c>
      <c r="B14" s="67" t="str">
        <f t="shared" ref="B14:H14" si="6">IF(ISERROR(B12+B13),"",B12+B13)</f>
        <v/>
      </c>
      <c r="C14" s="67" t="str">
        <f t="shared" si="6"/>
        <v/>
      </c>
      <c r="D14" s="67" t="str">
        <f t="shared" si="6"/>
        <v/>
      </c>
      <c r="E14" s="67" t="str">
        <f t="shared" si="6"/>
        <v/>
      </c>
      <c r="F14" s="67" t="str">
        <f t="shared" si="6"/>
        <v/>
      </c>
      <c r="G14" s="67">
        <f t="shared" si="6"/>
        <v>4.6077825000000017</v>
      </c>
      <c r="H14" s="67">
        <f t="shared" si="6"/>
        <v>4.6135390000000021</v>
      </c>
      <c r="I14" s="67">
        <f>IF(ISERROR(I12+I13),"",I12+I13)</f>
        <v>4.4002597500000009</v>
      </c>
      <c r="J14" s="67">
        <f t="shared" ref="J14:U14" si="7">IF(ISERROR(J12+J13),"",J12+J13)</f>
        <v>4.1833944999999968</v>
      </c>
      <c r="K14" s="67">
        <f t="shared" si="7"/>
        <v>3.9902550000000012</v>
      </c>
      <c r="L14" s="67">
        <f t="shared" si="7"/>
        <v>3.9184562499999998</v>
      </c>
      <c r="M14" s="67" t="str">
        <f t="shared" si="7"/>
        <v/>
      </c>
      <c r="N14" s="67" t="str">
        <f t="shared" si="7"/>
        <v/>
      </c>
      <c r="O14" s="67" t="str">
        <f t="shared" si="7"/>
        <v/>
      </c>
      <c r="P14" s="67" t="str">
        <f t="shared" si="7"/>
        <v/>
      </c>
      <c r="Q14" s="67" t="str">
        <f t="shared" si="7"/>
        <v/>
      </c>
      <c r="R14" s="67" t="str">
        <f t="shared" si="7"/>
        <v/>
      </c>
      <c r="S14" s="67" t="str">
        <f t="shared" si="7"/>
        <v/>
      </c>
      <c r="T14" s="67" t="str">
        <f t="shared" si="7"/>
        <v/>
      </c>
      <c r="U14" s="67" t="str">
        <f t="shared" si="7"/>
        <v/>
      </c>
      <c r="V14" s="984">
        <f>SUM(B14:U14)</f>
        <v>25.713687000000004</v>
      </c>
    </row>
    <row r="15" spans="1:22" s="92" customFormat="1" x14ac:dyDescent="0.25">
      <c r="A15" s="90" t="s">
        <v>497</v>
      </c>
      <c r="B15" s="67" t="str">
        <f>IF('INTT &amp; REPAY'!B10=0,"",'INTT &amp; REPAY'!B10)</f>
        <v/>
      </c>
      <c r="C15" s="67" t="str">
        <f>IF('INTT &amp; REPAY'!C10=0,"",'INTT &amp; REPAY'!C10)</f>
        <v/>
      </c>
      <c r="D15" s="67" t="str">
        <f>IF('INTT &amp; REPAY'!D10=0,"",'INTT &amp; REPAY'!D10)</f>
        <v/>
      </c>
      <c r="E15" s="67" t="str">
        <f>IF('INTT &amp; REPAY'!E10=0,"",'INTT &amp; REPAY'!E10)</f>
        <v/>
      </c>
      <c r="F15" s="67" t="str">
        <f>IF('INTT &amp; REPAY'!F10=0,"",'INTT &amp; REPAY'!F10)</f>
        <v/>
      </c>
      <c r="G15" s="67">
        <f>IF('INTT &amp; REPAY'!G10=0,"",'INTT &amp; REPAY'!G10)</f>
        <v>1.2</v>
      </c>
      <c r="H15" s="67">
        <f>IF('INTT &amp; REPAY'!H10=0,"",'INTT &amp; REPAY'!H10)</f>
        <v>1.4400000000000004</v>
      </c>
      <c r="I15" s="67">
        <f>IF('INTT &amp; REPAY'!I10=0,"",'INTT &amp; REPAY'!I10)</f>
        <v>1.7999999999999996</v>
      </c>
      <c r="J15" s="67">
        <f>IF('INTT &amp; REPAY'!J10=0,"",'INTT &amp; REPAY'!J10)</f>
        <v>2.1599999999999997</v>
      </c>
      <c r="K15" s="67">
        <f>IF('INTT &amp; REPAY'!K10=0,"",'INTT &amp; REPAY'!K10)</f>
        <v>2.4</v>
      </c>
      <c r="L15" s="67">
        <f>IF('INTT &amp; REPAY'!L10=0,"",'INTT &amp; REPAY'!L10)</f>
        <v>3</v>
      </c>
      <c r="M15" s="67" t="str">
        <f>IF('INTT &amp; REPAY'!M10=0,"",'INTT &amp; REPAY'!M10)</f>
        <v/>
      </c>
      <c r="N15" s="67" t="str">
        <f>IF('INTT &amp; REPAY'!N10=0,"",'INTT &amp; REPAY'!N10)</f>
        <v/>
      </c>
      <c r="O15" s="67" t="str">
        <f>IF('INTT &amp; REPAY'!O10=0,"",'INTT &amp; REPAY'!O10)</f>
        <v/>
      </c>
      <c r="P15" s="67" t="str">
        <f>IF('INTT &amp; REPAY'!P10=0,"",'INTT &amp; REPAY'!P10)</f>
        <v/>
      </c>
      <c r="Q15" s="67" t="str">
        <f>IF('INTT &amp; REPAY'!Q10=0,"",'INTT &amp; REPAY'!Q10)</f>
        <v/>
      </c>
      <c r="R15" s="67" t="str">
        <f>IF('INTT &amp; REPAY'!R10=0,"",'INTT &amp; REPAY'!R10)</f>
        <v/>
      </c>
      <c r="S15" s="67" t="str">
        <f>IF('INTT &amp; REPAY'!S10=0,"",'INTT &amp; REPAY'!S10)</f>
        <v/>
      </c>
      <c r="T15" s="67" t="str">
        <f>IF('INTT &amp; REPAY'!T10=0,"",'INTT &amp; REPAY'!T10)</f>
        <v/>
      </c>
      <c r="U15" s="67" t="str">
        <f>IF('INTT &amp; REPAY'!U10=0,"",'INTT &amp; REPAY'!U10)</f>
        <v/>
      </c>
      <c r="V15" s="984">
        <f>SUM(B15:U15)</f>
        <v>12</v>
      </c>
    </row>
    <row r="16" spans="1:22" s="226" customFormat="1" x14ac:dyDescent="0.25">
      <c r="A16" s="228" t="s">
        <v>498</v>
      </c>
      <c r="B16" s="67" t="str">
        <f t="shared" ref="B16:I16" si="8">IF(ISERROR(B13+B15),"",B13+B15)</f>
        <v/>
      </c>
      <c r="C16" s="67" t="str">
        <f t="shared" si="8"/>
        <v/>
      </c>
      <c r="D16" s="67" t="str">
        <f t="shared" si="8"/>
        <v/>
      </c>
      <c r="E16" s="67" t="str">
        <f t="shared" si="8"/>
        <v/>
      </c>
      <c r="F16" s="67" t="str">
        <f t="shared" si="8"/>
        <v/>
      </c>
      <c r="G16" s="67">
        <f t="shared" si="8"/>
        <v>2.1102750000000001</v>
      </c>
      <c r="H16" s="67">
        <f t="shared" si="8"/>
        <v>2.2461300000000013</v>
      </c>
      <c r="I16" s="67">
        <f t="shared" si="8"/>
        <v>2.4785325000000005</v>
      </c>
      <c r="J16" s="67">
        <f t="shared" ref="J16:U16" si="9">IF(ISERROR(J13+J15),"",J13+J15)</f>
        <v>2.6823150000000009</v>
      </c>
      <c r="K16" s="67">
        <f t="shared" si="9"/>
        <v>2.7418500000000008</v>
      </c>
      <c r="L16" s="67">
        <f t="shared" si="9"/>
        <v>3.1291875000000009</v>
      </c>
      <c r="M16" s="67" t="str">
        <f t="shared" si="9"/>
        <v/>
      </c>
      <c r="N16" s="67" t="str">
        <f t="shared" si="9"/>
        <v/>
      </c>
      <c r="O16" s="67" t="str">
        <f t="shared" si="9"/>
        <v/>
      </c>
      <c r="P16" s="67" t="str">
        <f t="shared" si="9"/>
        <v/>
      </c>
      <c r="Q16" s="67" t="str">
        <f t="shared" si="9"/>
        <v/>
      </c>
      <c r="R16" s="67" t="str">
        <f t="shared" si="9"/>
        <v/>
      </c>
      <c r="S16" s="67" t="str">
        <f t="shared" si="9"/>
        <v/>
      </c>
      <c r="T16" s="67" t="str">
        <f t="shared" si="9"/>
        <v/>
      </c>
      <c r="U16" s="67" t="str">
        <f t="shared" si="9"/>
        <v/>
      </c>
      <c r="V16" s="984">
        <f>SUM(B16:U16)</f>
        <v>15.388290000000005</v>
      </c>
    </row>
    <row r="17" spans="1:22" s="226" customFormat="1" x14ac:dyDescent="0.25">
      <c r="A17" s="230" t="s">
        <v>783</v>
      </c>
      <c r="B17" s="86" t="str">
        <f t="shared" ref="B17:I17" si="10">IF(ISERROR(B14/B16),"",B14/B16)</f>
        <v/>
      </c>
      <c r="C17" s="86" t="str">
        <f t="shared" si="10"/>
        <v/>
      </c>
      <c r="D17" s="86" t="str">
        <f t="shared" si="10"/>
        <v/>
      </c>
      <c r="E17" s="86" t="str">
        <f t="shared" si="10"/>
        <v/>
      </c>
      <c r="F17" s="86" t="str">
        <f t="shared" si="10"/>
        <v/>
      </c>
      <c r="G17" s="86">
        <f t="shared" si="10"/>
        <v>2.1834985961545303</v>
      </c>
      <c r="H17" s="86">
        <f t="shared" si="10"/>
        <v>2.0539946485733238</v>
      </c>
      <c r="I17" s="86">
        <f t="shared" si="10"/>
        <v>1.7753488203200887</v>
      </c>
      <c r="J17" s="86">
        <f t="shared" ref="J17:U17" si="11">IF(ISERROR(J14/J16),"",J14/J16)</f>
        <v>1.5596208871814068</v>
      </c>
      <c r="K17" s="86">
        <f t="shared" si="11"/>
        <v>1.4553148421686088</v>
      </c>
      <c r="L17" s="86">
        <f t="shared" si="11"/>
        <v>1.2522280144606224</v>
      </c>
      <c r="M17" s="86" t="str">
        <f t="shared" si="11"/>
        <v/>
      </c>
      <c r="N17" s="86" t="str">
        <f t="shared" si="11"/>
        <v/>
      </c>
      <c r="O17" s="86" t="str">
        <f t="shared" si="11"/>
        <v/>
      </c>
      <c r="P17" s="86" t="str">
        <f t="shared" si="11"/>
        <v/>
      </c>
      <c r="Q17" s="86" t="str">
        <f t="shared" si="11"/>
        <v/>
      </c>
      <c r="R17" s="86" t="str">
        <f t="shared" si="11"/>
        <v/>
      </c>
      <c r="S17" s="86" t="str">
        <f t="shared" si="11"/>
        <v/>
      </c>
      <c r="T17" s="86" t="str">
        <f t="shared" si="11"/>
        <v/>
      </c>
      <c r="U17" s="86" t="str">
        <f t="shared" si="11"/>
        <v/>
      </c>
      <c r="V17" s="983"/>
    </row>
    <row r="18" spans="1:22" ht="15.75" x14ac:dyDescent="0.25">
      <c r="A18" s="230" t="s">
        <v>301</v>
      </c>
      <c r="B18" s="231"/>
      <c r="C18" s="231"/>
      <c r="D18" s="231"/>
      <c r="E18" s="231"/>
      <c r="F18" s="221"/>
      <c r="G18" s="231"/>
      <c r="H18" s="221">
        <f>SUM(B14:U14)/SUM(B16:U16)</f>
        <v>1.670990538909781</v>
      </c>
      <c r="I18" s="231"/>
      <c r="J18" s="231"/>
      <c r="K18" s="231"/>
      <c r="L18" s="231"/>
      <c r="M18" s="231"/>
      <c r="N18" s="231"/>
      <c r="O18" s="231"/>
      <c r="P18" s="231"/>
      <c r="Q18" s="231"/>
      <c r="R18" s="231"/>
      <c r="S18" s="231"/>
      <c r="T18" s="231"/>
      <c r="U18" s="231"/>
      <c r="V18" s="983"/>
    </row>
    <row r="19" spans="1:22" x14ac:dyDescent="0.25">
      <c r="A19" s="228" t="s">
        <v>302</v>
      </c>
      <c r="B19" s="67" t="str">
        <f t="shared" ref="B19:I19" si="12">IF(ISERROR(B12/B15),"",B12/B15)</f>
        <v/>
      </c>
      <c r="C19" s="67" t="str">
        <f t="shared" si="12"/>
        <v/>
      </c>
      <c r="D19" s="67" t="str">
        <f t="shared" si="12"/>
        <v/>
      </c>
      <c r="E19" s="67" t="str">
        <f t="shared" si="12"/>
        <v/>
      </c>
      <c r="F19" s="67" t="str">
        <f t="shared" si="12"/>
        <v/>
      </c>
      <c r="G19" s="67">
        <f t="shared" si="12"/>
        <v>3.0812562500000014</v>
      </c>
      <c r="H19" s="67">
        <f t="shared" si="12"/>
        <v>2.6440340277777779</v>
      </c>
      <c r="I19" s="67">
        <f t="shared" si="12"/>
        <v>2.0676262500000004</v>
      </c>
      <c r="J19" s="67">
        <f t="shared" ref="J19:U19" si="13">IF(ISERROR(J12/J15),"",J12/J15)</f>
        <v>1.6949442129629613</v>
      </c>
      <c r="K19" s="67">
        <f t="shared" si="13"/>
        <v>1.5201687500000003</v>
      </c>
      <c r="L19" s="67">
        <f t="shared" si="13"/>
        <v>1.2630895833333329</v>
      </c>
      <c r="M19" s="67" t="str">
        <f t="shared" si="13"/>
        <v/>
      </c>
      <c r="N19" s="67" t="str">
        <f t="shared" si="13"/>
        <v/>
      </c>
      <c r="O19" s="67" t="str">
        <f t="shared" si="13"/>
        <v/>
      </c>
      <c r="P19" s="67" t="str">
        <f t="shared" si="13"/>
        <v/>
      </c>
      <c r="Q19" s="67" t="str">
        <f t="shared" si="13"/>
        <v/>
      </c>
      <c r="R19" s="67" t="str">
        <f t="shared" si="13"/>
        <v/>
      </c>
      <c r="S19" s="67" t="str">
        <f t="shared" si="13"/>
        <v/>
      </c>
      <c r="T19" s="67" t="str">
        <f t="shared" si="13"/>
        <v/>
      </c>
      <c r="U19" s="67" t="str">
        <f t="shared" si="13"/>
        <v/>
      </c>
      <c r="V19" s="983"/>
    </row>
    <row r="20" spans="1:22" ht="15.75" x14ac:dyDescent="0.25">
      <c r="A20" s="230" t="s">
        <v>36</v>
      </c>
      <c r="B20" s="231"/>
      <c r="C20" s="231"/>
      <c r="D20" s="231"/>
      <c r="E20" s="231"/>
      <c r="F20" s="221"/>
      <c r="G20" s="231"/>
      <c r="H20" s="221">
        <f>SUM(B12:U12)/SUM(B15:U15)</f>
        <v>1.8604497499999997</v>
      </c>
      <c r="I20" s="231"/>
      <c r="J20" s="231"/>
      <c r="K20" s="231"/>
      <c r="L20" s="231"/>
      <c r="M20" s="231"/>
      <c r="N20" s="231"/>
      <c r="O20" s="231"/>
      <c r="P20" s="231"/>
      <c r="Q20" s="231"/>
      <c r="R20" s="231"/>
      <c r="S20" s="231"/>
      <c r="T20" s="231"/>
      <c r="U20" s="231"/>
      <c r="V20" s="983"/>
    </row>
    <row r="21" spans="1:22" ht="15.75" x14ac:dyDescent="0.25">
      <c r="A21" s="579" t="s">
        <v>611</v>
      </c>
      <c r="B21" s="575"/>
      <c r="C21" s="575"/>
      <c r="D21" s="576"/>
      <c r="E21" s="576"/>
      <c r="F21" s="576"/>
      <c r="G21" s="576"/>
      <c r="H21" s="576"/>
      <c r="I21" s="576"/>
      <c r="J21" s="575"/>
      <c r="K21" s="575"/>
      <c r="L21" s="574"/>
      <c r="M21" s="575"/>
      <c r="N21" s="575"/>
      <c r="O21" s="580"/>
      <c r="P21" s="580"/>
      <c r="Q21" s="580"/>
      <c r="R21" s="580"/>
      <c r="S21" s="580"/>
      <c r="T21" s="580"/>
      <c r="U21" s="580"/>
      <c r="V21" s="983"/>
    </row>
    <row r="22" spans="1:22" x14ac:dyDescent="0.25">
      <c r="A22" s="232" t="s">
        <v>767</v>
      </c>
      <c r="B22" s="233"/>
      <c r="C22" s="234"/>
      <c r="D22" s="235"/>
      <c r="E22" s="235"/>
      <c r="F22" s="235"/>
      <c r="G22" s="235"/>
      <c r="H22" s="235"/>
      <c r="I22" s="235"/>
      <c r="J22" s="234"/>
      <c r="K22" s="234"/>
      <c r="L22" s="236"/>
      <c r="M22" s="234"/>
      <c r="N22" s="234"/>
      <c r="O22" s="237"/>
      <c r="P22" s="237"/>
      <c r="Q22" s="237"/>
      <c r="R22" s="237"/>
      <c r="S22" s="237"/>
      <c r="T22" s="237"/>
      <c r="U22" s="237"/>
      <c r="V22" s="983"/>
    </row>
    <row r="23" spans="1:22" x14ac:dyDescent="0.25">
      <c r="A23" s="238" t="s">
        <v>766</v>
      </c>
      <c r="B23" s="239"/>
      <c r="C23" s="222"/>
      <c r="D23" s="240"/>
      <c r="E23" s="240"/>
      <c r="F23" s="240"/>
      <c r="G23" s="240"/>
      <c r="H23" s="240"/>
      <c r="I23" s="240"/>
      <c r="J23" s="222"/>
      <c r="K23" s="222"/>
      <c r="L23" s="241"/>
      <c r="M23" s="222"/>
      <c r="N23" s="222"/>
      <c r="O23" s="242"/>
      <c r="P23" s="242"/>
      <c r="Q23" s="242"/>
      <c r="R23" s="242"/>
      <c r="S23" s="242"/>
      <c r="T23" s="242"/>
      <c r="U23" s="242"/>
      <c r="V23" s="983"/>
    </row>
    <row r="24" spans="1:22" x14ac:dyDescent="0.25">
      <c r="A24" s="243" t="s">
        <v>917</v>
      </c>
      <c r="B24" s="244"/>
      <c r="C24" s="244"/>
      <c r="D24" s="245"/>
      <c r="E24" s="245"/>
      <c r="F24" s="245"/>
      <c r="G24" s="245"/>
      <c r="H24" s="245"/>
      <c r="I24" s="245"/>
      <c r="J24" s="244"/>
      <c r="K24" s="244"/>
      <c r="L24" s="246"/>
      <c r="M24" s="244"/>
      <c r="N24" s="244"/>
      <c r="O24" s="247"/>
      <c r="P24" s="247"/>
      <c r="Q24" s="247"/>
      <c r="R24" s="247"/>
      <c r="S24" s="247"/>
      <c r="T24" s="247"/>
      <c r="U24" s="247"/>
      <c r="V24" s="983"/>
    </row>
    <row r="25" spans="1:22" x14ac:dyDescent="0.25">
      <c r="A25" s="581"/>
      <c r="B25" s="581"/>
      <c r="C25" s="575"/>
      <c r="D25" s="576"/>
      <c r="E25" s="576"/>
      <c r="F25" s="576"/>
      <c r="G25" s="576"/>
      <c r="H25" s="582"/>
      <c r="I25" s="576"/>
      <c r="J25" s="575"/>
      <c r="K25" s="575"/>
      <c r="L25" s="574"/>
      <c r="M25" s="575"/>
      <c r="N25" s="575"/>
      <c r="O25" s="575"/>
      <c r="P25" s="575"/>
      <c r="Q25" s="575"/>
      <c r="R25" s="575"/>
      <c r="S25" s="575"/>
      <c r="T25" s="575"/>
      <c r="U25" s="575"/>
      <c r="V25" s="985"/>
    </row>
    <row r="26" spans="1:22" s="226" customFormat="1" x14ac:dyDescent="0.25">
      <c r="A26" s="768" t="s">
        <v>197</v>
      </c>
      <c r="B26" s="80">
        <f>B8</f>
        <v>2020</v>
      </c>
      <c r="C26" s="80">
        <f t="shared" ref="C26:O26" si="14">C8</f>
        <v>2021</v>
      </c>
      <c r="D26" s="80">
        <f t="shared" si="14"/>
        <v>2022</v>
      </c>
      <c r="E26" s="80">
        <f t="shared" si="14"/>
        <v>2023</v>
      </c>
      <c r="F26" s="80">
        <f t="shared" si="14"/>
        <v>2024</v>
      </c>
      <c r="G26" s="80">
        <f t="shared" si="14"/>
        <v>2025</v>
      </c>
      <c r="H26" s="80">
        <f t="shared" si="14"/>
        <v>2026</v>
      </c>
      <c r="I26" s="80">
        <f t="shared" si="14"/>
        <v>2027</v>
      </c>
      <c r="J26" s="80">
        <f t="shared" si="14"/>
        <v>2028</v>
      </c>
      <c r="K26" s="80">
        <f t="shared" si="14"/>
        <v>2029</v>
      </c>
      <c r="L26" s="80">
        <f t="shared" si="14"/>
        <v>2030</v>
      </c>
      <c r="M26" s="80">
        <f t="shared" si="14"/>
        <v>2031</v>
      </c>
      <c r="N26" s="80">
        <f t="shared" si="14"/>
        <v>2032</v>
      </c>
      <c r="O26" s="80">
        <f t="shared" si="14"/>
        <v>2033</v>
      </c>
      <c r="P26" s="80">
        <f t="shared" ref="P26:U26" si="15">P8</f>
        <v>2034</v>
      </c>
      <c r="Q26" s="80">
        <f t="shared" si="15"/>
        <v>2035</v>
      </c>
      <c r="R26" s="80">
        <f t="shared" si="15"/>
        <v>2036</v>
      </c>
      <c r="S26" s="80">
        <f t="shared" si="15"/>
        <v>2037</v>
      </c>
      <c r="T26" s="80">
        <f t="shared" si="15"/>
        <v>2038</v>
      </c>
      <c r="U26" s="80">
        <f t="shared" si="15"/>
        <v>2039</v>
      </c>
      <c r="V26" s="983"/>
    </row>
    <row r="27" spans="1:22" s="226" customFormat="1" x14ac:dyDescent="0.25">
      <c r="A27" s="768" t="s">
        <v>920</v>
      </c>
      <c r="B27" s="80" t="str">
        <f>B9</f>
        <v>AUD.</v>
      </c>
      <c r="C27" s="80" t="str">
        <f t="shared" ref="C27:O27" si="16">C9</f>
        <v>AUD.</v>
      </c>
      <c r="D27" s="80" t="str">
        <f t="shared" si="16"/>
        <v>AUD.</v>
      </c>
      <c r="E27" s="80" t="str">
        <f t="shared" si="16"/>
        <v>EST.</v>
      </c>
      <c r="F27" s="80" t="str">
        <f t="shared" si="16"/>
        <v>PROJ.</v>
      </c>
      <c r="G27" s="80" t="str">
        <f t="shared" si="16"/>
        <v>PROJ.</v>
      </c>
      <c r="H27" s="80" t="str">
        <f t="shared" si="16"/>
        <v>PROJ.</v>
      </c>
      <c r="I27" s="80" t="str">
        <f t="shared" si="16"/>
        <v>PROJ.</v>
      </c>
      <c r="J27" s="80" t="str">
        <f t="shared" si="16"/>
        <v>PROJ.</v>
      </c>
      <c r="K27" s="80" t="str">
        <f t="shared" si="16"/>
        <v>PROJ.</v>
      </c>
      <c r="L27" s="80" t="str">
        <f t="shared" si="16"/>
        <v>PROJ.</v>
      </c>
      <c r="M27" s="80" t="str">
        <f t="shared" si="16"/>
        <v>PROJ.</v>
      </c>
      <c r="N27" s="80" t="str">
        <f t="shared" si="16"/>
        <v>PROJ.</v>
      </c>
      <c r="O27" s="80" t="str">
        <f t="shared" si="16"/>
        <v>PROJ.</v>
      </c>
      <c r="P27" s="80" t="str">
        <f t="shared" ref="P27:U27" si="17">P9</f>
        <v>PROJ.</v>
      </c>
      <c r="Q27" s="80" t="str">
        <f t="shared" si="17"/>
        <v>PROJ.</v>
      </c>
      <c r="R27" s="80" t="str">
        <f t="shared" si="17"/>
        <v>PROJ.</v>
      </c>
      <c r="S27" s="80" t="str">
        <f t="shared" si="17"/>
        <v>PROJ.</v>
      </c>
      <c r="T27" s="80" t="str">
        <f t="shared" si="17"/>
        <v>PROJ.</v>
      </c>
      <c r="U27" s="80" t="str">
        <f t="shared" si="17"/>
        <v>PROJ.</v>
      </c>
      <c r="V27" s="983"/>
    </row>
    <row r="28" spans="1:22" x14ac:dyDescent="0.25">
      <c r="A28" s="147" t="s">
        <v>198</v>
      </c>
      <c r="B28" s="67">
        <f>Asset!C64</f>
        <v>7.0000000000000007E-2</v>
      </c>
      <c r="C28" s="67">
        <f>Asset!D64</f>
        <v>6.9999999999999993E-2</v>
      </c>
      <c r="D28" s="67">
        <f>Asset!E64</f>
        <v>3.9899999999999998</v>
      </c>
      <c r="E28" s="67">
        <f>Asset!F64</f>
        <v>12.41</v>
      </c>
      <c r="F28" s="67">
        <f>Asset!G64</f>
        <v>20.05</v>
      </c>
      <c r="G28" s="67">
        <f>Asset!H64</f>
        <v>17.57</v>
      </c>
      <c r="H28" s="67">
        <f>Asset!I64</f>
        <v>15.41</v>
      </c>
      <c r="I28" s="67">
        <f>Asset!J64</f>
        <v>13.530000000000001</v>
      </c>
      <c r="J28" s="67">
        <f>Asset!K64</f>
        <v>11.89</v>
      </c>
      <c r="K28" s="67">
        <f>Asset!L64</f>
        <v>10.46</v>
      </c>
      <c r="L28" s="67">
        <f>Asset!M64</f>
        <v>9.2200000000000006</v>
      </c>
      <c r="M28" s="67">
        <f>Asset!N64</f>
        <v>9.2200000000000006</v>
      </c>
      <c r="N28" s="67">
        <f>Asset!O64</f>
        <v>9.2200000000000006</v>
      </c>
      <c r="O28" s="67">
        <f>Asset!P64</f>
        <v>9.2200000000000006</v>
      </c>
      <c r="P28" s="67">
        <f>Asset!Q64</f>
        <v>-12.49</v>
      </c>
      <c r="Q28" s="67">
        <f>Asset!R64</f>
        <v>-12.49</v>
      </c>
      <c r="R28" s="67">
        <f>Asset!S64</f>
        <v>-12.49</v>
      </c>
      <c r="S28" s="67">
        <f>Asset!T64</f>
        <v>-12.49</v>
      </c>
      <c r="T28" s="67">
        <f>Asset!U64</f>
        <v>-12.49</v>
      </c>
      <c r="U28" s="67">
        <f>Asset!V64</f>
        <v>-12.49</v>
      </c>
      <c r="V28" s="983"/>
    </row>
    <row r="29" spans="1:22" s="390" customFormat="1" x14ac:dyDescent="0.25">
      <c r="A29" s="388" t="s">
        <v>511</v>
      </c>
      <c r="B29" s="389">
        <f>Liab!C65+Liab!C67+Liab!C34</f>
        <v>0</v>
      </c>
      <c r="C29" s="389">
        <f>Liab!D65+Liab!D67+Liab!D34</f>
        <v>0</v>
      </c>
      <c r="D29" s="389">
        <f>Liab!E65+Liab!E67+Liab!E34</f>
        <v>2.88</v>
      </c>
      <c r="E29" s="389">
        <f>Liab!F65+Liab!F67+Liab!F34</f>
        <v>6.09</v>
      </c>
      <c r="F29" s="389">
        <f>Liab!G65+Liab!G67+Liab!G34</f>
        <v>12.92</v>
      </c>
      <c r="G29" s="389">
        <f>Liab!H65+Liab!H67+Liab!H34</f>
        <v>10.840000000000003</v>
      </c>
      <c r="H29" s="389">
        <f>Liab!I65+Liab!I67+Liab!I34</f>
        <v>9.3800000000000132</v>
      </c>
      <c r="I29" s="389">
        <f>Liab!J65+Liab!J67+Liab!J34</f>
        <v>7.5600000000000094</v>
      </c>
      <c r="J29" s="389">
        <f>Liab!K65+Liab!K67+Liab!K34</f>
        <v>5.4000000000000128</v>
      </c>
      <c r="K29" s="389">
        <f>Liab!L65+Liab!L67+Liab!L34</f>
        <v>3.0000000000000107</v>
      </c>
      <c r="L29" s="389">
        <f>Liab!M65+Liab!M67+Liab!M34</f>
        <v>0</v>
      </c>
      <c r="M29" s="389">
        <f>Liab!N65+Liab!N67+Liab!N34</f>
        <v>0</v>
      </c>
      <c r="N29" s="389">
        <f>Liab!O65+Liab!O67+Liab!O34</f>
        <v>0</v>
      </c>
      <c r="O29" s="389">
        <f>Liab!P65+Liab!P67+Liab!P34</f>
        <v>0</v>
      </c>
      <c r="P29" s="389">
        <f>Liab!Q65+Liab!Q67+Liab!Q34</f>
        <v>0</v>
      </c>
      <c r="Q29" s="389">
        <f>Liab!R65+Liab!R67+Liab!R34</f>
        <v>0</v>
      </c>
      <c r="R29" s="389">
        <f>Liab!S65+Liab!S67+Liab!S34</f>
        <v>0</v>
      </c>
      <c r="S29" s="389">
        <f>Liab!T65+Liab!T67+Liab!T34</f>
        <v>0</v>
      </c>
      <c r="T29" s="389">
        <f>Liab!U65+Liab!U67+Liab!U34</f>
        <v>0</v>
      </c>
      <c r="U29" s="389">
        <f>Liab!V65+Liab!V67+Liab!V34</f>
        <v>0</v>
      </c>
      <c r="V29" s="986"/>
    </row>
    <row r="30" spans="1:22" x14ac:dyDescent="0.25">
      <c r="A30" s="147" t="s">
        <v>197</v>
      </c>
      <c r="B30" s="67">
        <f>B28-B29</f>
        <v>7.0000000000000007E-2</v>
      </c>
      <c r="C30" s="67">
        <f t="shared" ref="C30:U30" si="18">C28-C29</f>
        <v>6.9999999999999993E-2</v>
      </c>
      <c r="D30" s="67">
        <f t="shared" si="18"/>
        <v>1.1099999999999999</v>
      </c>
      <c r="E30" s="67">
        <f t="shared" si="18"/>
        <v>6.32</v>
      </c>
      <c r="F30" s="67">
        <f t="shared" si="18"/>
        <v>7.1300000000000008</v>
      </c>
      <c r="G30" s="67">
        <f t="shared" si="18"/>
        <v>6.7299999999999969</v>
      </c>
      <c r="H30" s="67">
        <f t="shared" si="18"/>
        <v>6.0299999999999869</v>
      </c>
      <c r="I30" s="67">
        <f t="shared" si="18"/>
        <v>5.9699999999999918</v>
      </c>
      <c r="J30" s="67">
        <f t="shared" si="18"/>
        <v>6.4899999999999878</v>
      </c>
      <c r="K30" s="67">
        <f t="shared" si="18"/>
        <v>7.4599999999999902</v>
      </c>
      <c r="L30" s="67">
        <f t="shared" si="18"/>
        <v>9.2200000000000006</v>
      </c>
      <c r="M30" s="67">
        <f t="shared" si="18"/>
        <v>9.2200000000000006</v>
      </c>
      <c r="N30" s="67">
        <f t="shared" si="18"/>
        <v>9.2200000000000006</v>
      </c>
      <c r="O30" s="67">
        <f t="shared" si="18"/>
        <v>9.2200000000000006</v>
      </c>
      <c r="P30" s="67">
        <f t="shared" si="18"/>
        <v>-12.49</v>
      </c>
      <c r="Q30" s="67">
        <f t="shared" si="18"/>
        <v>-12.49</v>
      </c>
      <c r="R30" s="67">
        <f t="shared" si="18"/>
        <v>-12.49</v>
      </c>
      <c r="S30" s="67">
        <f t="shared" si="18"/>
        <v>-12.49</v>
      </c>
      <c r="T30" s="67">
        <f t="shared" si="18"/>
        <v>-12.49</v>
      </c>
      <c r="U30" s="67">
        <f t="shared" si="18"/>
        <v>-12.49</v>
      </c>
      <c r="V30" s="983"/>
    </row>
    <row r="31" spans="1:22" s="249" customFormat="1" x14ac:dyDescent="0.25">
      <c r="A31" s="204" t="s">
        <v>1022</v>
      </c>
      <c r="B31" s="248">
        <f>IF(ISERROR(B30/B28),"",IF(B30/B28=0,"",B30/B28))</f>
        <v>1</v>
      </c>
      <c r="C31" s="248">
        <f t="shared" ref="C31:U31" si="19">IF(ISERROR(C30/C28),"",IF(C30/C28=0,"",C30/C28))</f>
        <v>1</v>
      </c>
      <c r="D31" s="248">
        <f t="shared" si="19"/>
        <v>0.2781954887218045</v>
      </c>
      <c r="E31" s="248">
        <f t="shared" si="19"/>
        <v>0.50926672038678489</v>
      </c>
      <c r="F31" s="248">
        <f t="shared" si="19"/>
        <v>0.3556109725685786</v>
      </c>
      <c r="G31" s="248">
        <f t="shared" si="19"/>
        <v>0.38303927148548644</v>
      </c>
      <c r="H31" s="248">
        <f t="shared" si="19"/>
        <v>0.39130434782608609</v>
      </c>
      <c r="I31" s="248">
        <f t="shared" si="19"/>
        <v>0.44124168514412354</v>
      </c>
      <c r="J31" s="248">
        <f t="shared" si="19"/>
        <v>0.5458368376787206</v>
      </c>
      <c r="K31" s="248">
        <f t="shared" si="19"/>
        <v>0.71319311663479823</v>
      </c>
      <c r="L31" s="248">
        <f t="shared" si="19"/>
        <v>1</v>
      </c>
      <c r="M31" s="248">
        <f t="shared" si="19"/>
        <v>1</v>
      </c>
      <c r="N31" s="248">
        <f t="shared" si="19"/>
        <v>1</v>
      </c>
      <c r="O31" s="248">
        <f t="shared" si="19"/>
        <v>1</v>
      </c>
      <c r="P31" s="248">
        <f t="shared" si="19"/>
        <v>1</v>
      </c>
      <c r="Q31" s="248">
        <f t="shared" si="19"/>
        <v>1</v>
      </c>
      <c r="R31" s="248">
        <f t="shared" si="19"/>
        <v>1</v>
      </c>
      <c r="S31" s="248">
        <f t="shared" si="19"/>
        <v>1</v>
      </c>
      <c r="T31" s="248">
        <f t="shared" si="19"/>
        <v>1</v>
      </c>
      <c r="U31" s="248">
        <f t="shared" si="19"/>
        <v>1</v>
      </c>
      <c r="V31" s="987"/>
    </row>
    <row r="32" spans="1:22" s="79" customFormat="1" x14ac:dyDescent="0.25">
      <c r="A32" s="1000" t="s">
        <v>947</v>
      </c>
      <c r="B32" s="67">
        <f>IF(ISERROR(100%+B31),"",100%+B31)</f>
        <v>2</v>
      </c>
      <c r="C32" s="67">
        <f t="shared" ref="C32:U32" si="20">IF(ISERROR(100%+C31),"",100%+C31)</f>
        <v>2</v>
      </c>
      <c r="D32" s="67">
        <f t="shared" si="20"/>
        <v>1.2781954887218046</v>
      </c>
      <c r="E32" s="67">
        <f t="shared" si="20"/>
        <v>1.5092667203867849</v>
      </c>
      <c r="F32" s="67">
        <f t="shared" si="20"/>
        <v>1.3556109725685785</v>
      </c>
      <c r="G32" s="67">
        <f t="shared" si="20"/>
        <v>1.3830392714854864</v>
      </c>
      <c r="H32" s="67">
        <f t="shared" si="20"/>
        <v>1.391304347826086</v>
      </c>
      <c r="I32" s="67">
        <f t="shared" si="20"/>
        <v>1.4412416851441234</v>
      </c>
      <c r="J32" s="67">
        <f t="shared" si="20"/>
        <v>1.5458368376787206</v>
      </c>
      <c r="K32" s="67">
        <f t="shared" si="20"/>
        <v>1.7131931166347982</v>
      </c>
      <c r="L32" s="67">
        <f t="shared" si="20"/>
        <v>2</v>
      </c>
      <c r="M32" s="67">
        <f t="shared" si="20"/>
        <v>2</v>
      </c>
      <c r="N32" s="67">
        <f t="shared" si="20"/>
        <v>2</v>
      </c>
      <c r="O32" s="67">
        <f t="shared" si="20"/>
        <v>2</v>
      </c>
      <c r="P32" s="67">
        <f t="shared" si="20"/>
        <v>2</v>
      </c>
      <c r="Q32" s="67">
        <f t="shared" si="20"/>
        <v>2</v>
      </c>
      <c r="R32" s="67">
        <f t="shared" si="20"/>
        <v>2</v>
      </c>
      <c r="S32" s="67">
        <f t="shared" si="20"/>
        <v>2</v>
      </c>
      <c r="T32" s="67">
        <f t="shared" si="20"/>
        <v>2</v>
      </c>
      <c r="U32" s="67">
        <f t="shared" si="20"/>
        <v>2</v>
      </c>
      <c r="V32" s="984"/>
    </row>
    <row r="33" spans="1:22" ht="27.75" customHeight="1" x14ac:dyDescent="0.25">
      <c r="A33" s="583"/>
      <c r="B33" s="584"/>
      <c r="C33" s="584"/>
      <c r="D33" s="585"/>
      <c r="E33" s="585"/>
      <c r="F33" s="585"/>
      <c r="G33" s="585"/>
      <c r="H33" s="585"/>
      <c r="I33" s="585"/>
      <c r="J33" s="584"/>
      <c r="K33" s="584"/>
      <c r="L33" s="586"/>
      <c r="M33" s="584"/>
      <c r="N33" s="584"/>
      <c r="O33" s="578"/>
      <c r="P33" s="578"/>
      <c r="Q33" s="578"/>
      <c r="R33" s="578"/>
      <c r="S33" s="578"/>
      <c r="T33" s="578"/>
      <c r="U33" s="578"/>
      <c r="V33" s="983"/>
    </row>
    <row r="34" spans="1:22" s="226" customFormat="1" x14ac:dyDescent="0.25">
      <c r="A34" s="768" t="s">
        <v>197</v>
      </c>
      <c r="B34" s="80">
        <f>B8</f>
        <v>2020</v>
      </c>
      <c r="C34" s="80">
        <f t="shared" ref="C34:O34" si="21">C8</f>
        <v>2021</v>
      </c>
      <c r="D34" s="80">
        <f t="shared" si="21"/>
        <v>2022</v>
      </c>
      <c r="E34" s="80">
        <f t="shared" si="21"/>
        <v>2023</v>
      </c>
      <c r="F34" s="80">
        <f t="shared" si="21"/>
        <v>2024</v>
      </c>
      <c r="G34" s="80">
        <f t="shared" si="21"/>
        <v>2025</v>
      </c>
      <c r="H34" s="80">
        <f t="shared" si="21"/>
        <v>2026</v>
      </c>
      <c r="I34" s="80">
        <f t="shared" si="21"/>
        <v>2027</v>
      </c>
      <c r="J34" s="80">
        <f t="shared" si="21"/>
        <v>2028</v>
      </c>
      <c r="K34" s="80">
        <f t="shared" si="21"/>
        <v>2029</v>
      </c>
      <c r="L34" s="80">
        <f t="shared" si="21"/>
        <v>2030</v>
      </c>
      <c r="M34" s="80">
        <f t="shared" si="21"/>
        <v>2031</v>
      </c>
      <c r="N34" s="80">
        <f t="shared" si="21"/>
        <v>2032</v>
      </c>
      <c r="O34" s="80">
        <f t="shared" si="21"/>
        <v>2033</v>
      </c>
      <c r="P34" s="80">
        <f t="shared" ref="P34:U34" si="22">P8</f>
        <v>2034</v>
      </c>
      <c r="Q34" s="80">
        <f t="shared" si="22"/>
        <v>2035</v>
      </c>
      <c r="R34" s="80">
        <f t="shared" si="22"/>
        <v>2036</v>
      </c>
      <c r="S34" s="80">
        <f t="shared" si="22"/>
        <v>2037</v>
      </c>
      <c r="T34" s="80">
        <f t="shared" si="22"/>
        <v>2038</v>
      </c>
      <c r="U34" s="80">
        <f t="shared" si="22"/>
        <v>2039</v>
      </c>
      <c r="V34" s="983"/>
    </row>
    <row r="35" spans="1:22" s="226" customFormat="1" x14ac:dyDescent="0.25">
      <c r="A35" s="768" t="s">
        <v>921</v>
      </c>
      <c r="B35" s="80" t="str">
        <f>B9</f>
        <v>AUD.</v>
      </c>
      <c r="C35" s="80" t="str">
        <f t="shared" ref="C35:O35" si="23">C9</f>
        <v>AUD.</v>
      </c>
      <c r="D35" s="80" t="str">
        <f t="shared" si="23"/>
        <v>AUD.</v>
      </c>
      <c r="E35" s="80" t="str">
        <f t="shared" si="23"/>
        <v>EST.</v>
      </c>
      <c r="F35" s="80" t="str">
        <f t="shared" si="23"/>
        <v>PROJ.</v>
      </c>
      <c r="G35" s="80" t="str">
        <f t="shared" si="23"/>
        <v>PROJ.</v>
      </c>
      <c r="H35" s="80" t="str">
        <f t="shared" si="23"/>
        <v>PROJ.</v>
      </c>
      <c r="I35" s="80" t="str">
        <f t="shared" si="23"/>
        <v>PROJ.</v>
      </c>
      <c r="J35" s="80" t="str">
        <f t="shared" si="23"/>
        <v>PROJ.</v>
      </c>
      <c r="K35" s="80" t="str">
        <f t="shared" si="23"/>
        <v>PROJ.</v>
      </c>
      <c r="L35" s="80" t="str">
        <f t="shared" si="23"/>
        <v>PROJ.</v>
      </c>
      <c r="M35" s="80" t="str">
        <f t="shared" si="23"/>
        <v>PROJ.</v>
      </c>
      <c r="N35" s="80" t="str">
        <f t="shared" si="23"/>
        <v>PROJ.</v>
      </c>
      <c r="O35" s="80" t="str">
        <f t="shared" si="23"/>
        <v>PROJ.</v>
      </c>
      <c r="P35" s="80" t="str">
        <f t="shared" ref="P35:U35" si="24">P9</f>
        <v>PROJ.</v>
      </c>
      <c r="Q35" s="80" t="str">
        <f t="shared" si="24"/>
        <v>PROJ.</v>
      </c>
      <c r="R35" s="80" t="str">
        <f t="shared" si="24"/>
        <v>PROJ.</v>
      </c>
      <c r="S35" s="80" t="str">
        <f t="shared" si="24"/>
        <v>PROJ.</v>
      </c>
      <c r="T35" s="80" t="str">
        <f t="shared" si="24"/>
        <v>PROJ.</v>
      </c>
      <c r="U35" s="80" t="str">
        <f t="shared" si="24"/>
        <v>PROJ.</v>
      </c>
      <c r="V35" s="983"/>
    </row>
    <row r="36" spans="1:22" x14ac:dyDescent="0.25">
      <c r="A36" s="147" t="s">
        <v>198</v>
      </c>
      <c r="B36" s="67">
        <f>Asset!C64</f>
        <v>7.0000000000000007E-2</v>
      </c>
      <c r="C36" s="67">
        <f>Asset!D64</f>
        <v>6.9999999999999993E-2</v>
      </c>
      <c r="D36" s="67">
        <f>Asset!E64</f>
        <v>3.9899999999999998</v>
      </c>
      <c r="E36" s="67">
        <f>Asset!F64</f>
        <v>12.41</v>
      </c>
      <c r="F36" s="67">
        <f>Asset!G64</f>
        <v>20.05</v>
      </c>
      <c r="G36" s="67">
        <f>Asset!H64</f>
        <v>17.57</v>
      </c>
      <c r="H36" s="67">
        <f>Asset!I64</f>
        <v>15.41</v>
      </c>
      <c r="I36" s="67">
        <f>Asset!J64</f>
        <v>13.530000000000001</v>
      </c>
      <c r="J36" s="67">
        <f>Asset!K64</f>
        <v>11.89</v>
      </c>
      <c r="K36" s="67">
        <f>Asset!L64</f>
        <v>10.46</v>
      </c>
      <c r="L36" s="67">
        <f>Asset!M64</f>
        <v>9.2200000000000006</v>
      </c>
      <c r="M36" s="67">
        <f>Asset!N64</f>
        <v>9.2200000000000006</v>
      </c>
      <c r="N36" s="67">
        <f>Asset!O64</f>
        <v>9.2200000000000006</v>
      </c>
      <c r="O36" s="67">
        <f>Asset!P64</f>
        <v>9.2200000000000006</v>
      </c>
      <c r="P36" s="67">
        <f>Asset!Q64</f>
        <v>-12.49</v>
      </c>
      <c r="Q36" s="67">
        <f>Asset!R64</f>
        <v>-12.49</v>
      </c>
      <c r="R36" s="67">
        <f>Asset!S64</f>
        <v>-12.49</v>
      </c>
      <c r="S36" s="67">
        <f>Asset!T64</f>
        <v>-12.49</v>
      </c>
      <c r="T36" s="67">
        <f>Asset!U64</f>
        <v>-12.49</v>
      </c>
      <c r="U36" s="67">
        <f>Asset!V64</f>
        <v>-12.49</v>
      </c>
      <c r="V36" s="983"/>
    </row>
    <row r="37" spans="1:22" x14ac:dyDescent="0.25">
      <c r="A37" s="147" t="s">
        <v>922</v>
      </c>
      <c r="B37" s="405">
        <v>0</v>
      </c>
      <c r="C37" s="405">
        <v>0</v>
      </c>
      <c r="D37" s="405">
        <v>0</v>
      </c>
      <c r="E37" s="405">
        <v>0</v>
      </c>
      <c r="F37" s="405">
        <v>0</v>
      </c>
      <c r="G37" s="405">
        <v>0</v>
      </c>
      <c r="H37" s="405">
        <v>0</v>
      </c>
      <c r="I37" s="405">
        <v>0</v>
      </c>
      <c r="J37" s="405">
        <v>0</v>
      </c>
      <c r="K37" s="405">
        <v>0</v>
      </c>
      <c r="L37" s="405">
        <v>0</v>
      </c>
      <c r="M37" s="405">
        <v>0</v>
      </c>
      <c r="N37" s="405">
        <v>0</v>
      </c>
      <c r="O37" s="405">
        <v>0</v>
      </c>
      <c r="P37" s="405">
        <v>0</v>
      </c>
      <c r="Q37" s="405">
        <v>0</v>
      </c>
      <c r="R37" s="405">
        <v>0</v>
      </c>
      <c r="S37" s="405">
        <v>0</v>
      </c>
      <c r="T37" s="405">
        <v>0</v>
      </c>
      <c r="U37" s="405">
        <v>0</v>
      </c>
      <c r="V37" s="983"/>
    </row>
    <row r="38" spans="1:22" x14ac:dyDescent="0.25">
      <c r="A38" s="147" t="s">
        <v>923</v>
      </c>
      <c r="B38" s="67">
        <f>B36-B37</f>
        <v>7.0000000000000007E-2</v>
      </c>
      <c r="C38" s="67">
        <f t="shared" ref="C38:U38" si="25">C36-C37</f>
        <v>6.9999999999999993E-2</v>
      </c>
      <c r="D38" s="67">
        <f t="shared" si="25"/>
        <v>3.9899999999999998</v>
      </c>
      <c r="E38" s="67">
        <f t="shared" si="25"/>
        <v>12.41</v>
      </c>
      <c r="F38" s="67">
        <f t="shared" si="25"/>
        <v>20.05</v>
      </c>
      <c r="G38" s="67">
        <f t="shared" si="25"/>
        <v>17.57</v>
      </c>
      <c r="H38" s="67">
        <f t="shared" si="25"/>
        <v>15.41</v>
      </c>
      <c r="I38" s="67">
        <f t="shared" si="25"/>
        <v>13.530000000000001</v>
      </c>
      <c r="J38" s="67">
        <f t="shared" si="25"/>
        <v>11.89</v>
      </c>
      <c r="K38" s="67">
        <f t="shared" si="25"/>
        <v>10.46</v>
      </c>
      <c r="L38" s="67">
        <f t="shared" si="25"/>
        <v>9.2200000000000006</v>
      </c>
      <c r="M38" s="67">
        <f t="shared" si="25"/>
        <v>9.2200000000000006</v>
      </c>
      <c r="N38" s="67">
        <f t="shared" si="25"/>
        <v>9.2200000000000006</v>
      </c>
      <c r="O38" s="67">
        <f t="shared" si="25"/>
        <v>9.2200000000000006</v>
      </c>
      <c r="P38" s="67">
        <f t="shared" si="25"/>
        <v>-12.49</v>
      </c>
      <c r="Q38" s="67">
        <f t="shared" si="25"/>
        <v>-12.49</v>
      </c>
      <c r="R38" s="67">
        <f t="shared" si="25"/>
        <v>-12.49</v>
      </c>
      <c r="S38" s="67">
        <f t="shared" si="25"/>
        <v>-12.49</v>
      </c>
      <c r="T38" s="67">
        <f t="shared" si="25"/>
        <v>-12.49</v>
      </c>
      <c r="U38" s="67">
        <f t="shared" si="25"/>
        <v>-12.49</v>
      </c>
      <c r="V38" s="983"/>
    </row>
    <row r="39" spans="1:22" s="390" customFormat="1" x14ac:dyDescent="0.25">
      <c r="A39" s="388" t="s">
        <v>1023</v>
      </c>
      <c r="B39" s="389">
        <f>Liab!C65+Liab!C34</f>
        <v>0</v>
      </c>
      <c r="C39" s="389">
        <f>Liab!D65+Liab!D34</f>
        <v>0</v>
      </c>
      <c r="D39" s="389">
        <f>Liab!E65+Liab!E34</f>
        <v>0.88</v>
      </c>
      <c r="E39" s="389">
        <f>Liab!F65+Liab!F34</f>
        <v>5.17</v>
      </c>
      <c r="F39" s="389">
        <f>Liab!G65+Liab!G34</f>
        <v>12.88</v>
      </c>
      <c r="G39" s="389">
        <f>Liab!H65+Liab!H34</f>
        <v>10.820000000000004</v>
      </c>
      <c r="H39" s="389">
        <f>Liab!I65+Liab!I34</f>
        <v>9.3800000000000132</v>
      </c>
      <c r="I39" s="389">
        <f>Liab!J65+Liab!J34</f>
        <v>7.5600000000000094</v>
      </c>
      <c r="J39" s="389">
        <f>Liab!K65+Liab!K34</f>
        <v>5.4000000000000128</v>
      </c>
      <c r="K39" s="389">
        <f>Liab!L65+Liab!L34</f>
        <v>3.0000000000000107</v>
      </c>
      <c r="L39" s="389">
        <f>Liab!M65+Liab!M34</f>
        <v>0</v>
      </c>
      <c r="M39" s="389">
        <f>Liab!N65+Liab!N34</f>
        <v>0</v>
      </c>
      <c r="N39" s="389">
        <f>Liab!O65+Liab!O34</f>
        <v>0</v>
      </c>
      <c r="O39" s="389">
        <f>Liab!P65+Liab!P34</f>
        <v>0</v>
      </c>
      <c r="P39" s="389">
        <f>Liab!Q65+Liab!Q34</f>
        <v>0</v>
      </c>
      <c r="Q39" s="389">
        <f>Liab!R65+Liab!R34</f>
        <v>0</v>
      </c>
      <c r="R39" s="389">
        <f>Liab!S65+Liab!S34</f>
        <v>0</v>
      </c>
      <c r="S39" s="389">
        <f>Liab!T65+Liab!T34</f>
        <v>0</v>
      </c>
      <c r="T39" s="389">
        <f>Liab!U65+Liab!U34</f>
        <v>0</v>
      </c>
      <c r="U39" s="389">
        <f>Liab!V65+Liab!V34</f>
        <v>0</v>
      </c>
      <c r="V39" s="986"/>
    </row>
    <row r="40" spans="1:22" x14ac:dyDescent="0.25">
      <c r="A40" s="147" t="s">
        <v>197</v>
      </c>
      <c r="B40" s="67">
        <f>B38-B39</f>
        <v>7.0000000000000007E-2</v>
      </c>
      <c r="C40" s="67">
        <f t="shared" ref="C40:U40" si="26">C38-C39</f>
        <v>6.9999999999999993E-2</v>
      </c>
      <c r="D40" s="67">
        <f t="shared" si="26"/>
        <v>3.11</v>
      </c>
      <c r="E40" s="67">
        <f t="shared" si="26"/>
        <v>7.24</v>
      </c>
      <c r="F40" s="67">
        <f t="shared" si="26"/>
        <v>7.17</v>
      </c>
      <c r="G40" s="67">
        <f t="shared" si="26"/>
        <v>6.7499999999999964</v>
      </c>
      <c r="H40" s="67">
        <f t="shared" si="26"/>
        <v>6.0299999999999869</v>
      </c>
      <c r="I40" s="67">
        <f t="shared" si="26"/>
        <v>5.9699999999999918</v>
      </c>
      <c r="J40" s="67">
        <f t="shared" si="26"/>
        <v>6.4899999999999878</v>
      </c>
      <c r="K40" s="67">
        <f t="shared" si="26"/>
        <v>7.4599999999999902</v>
      </c>
      <c r="L40" s="67">
        <f t="shared" si="26"/>
        <v>9.2200000000000006</v>
      </c>
      <c r="M40" s="67">
        <f t="shared" si="26"/>
        <v>9.2200000000000006</v>
      </c>
      <c r="N40" s="67">
        <f t="shared" si="26"/>
        <v>9.2200000000000006</v>
      </c>
      <c r="O40" s="67">
        <f t="shared" si="26"/>
        <v>9.2200000000000006</v>
      </c>
      <c r="P40" s="67">
        <f t="shared" si="26"/>
        <v>-12.49</v>
      </c>
      <c r="Q40" s="67">
        <f t="shared" si="26"/>
        <v>-12.49</v>
      </c>
      <c r="R40" s="67">
        <f t="shared" si="26"/>
        <v>-12.49</v>
      </c>
      <c r="S40" s="67">
        <f t="shared" si="26"/>
        <v>-12.49</v>
      </c>
      <c r="T40" s="67">
        <f t="shared" si="26"/>
        <v>-12.49</v>
      </c>
      <c r="U40" s="67">
        <f t="shared" si="26"/>
        <v>-12.49</v>
      </c>
      <c r="V40" s="983"/>
    </row>
    <row r="41" spans="1:22" s="249" customFormat="1" x14ac:dyDescent="0.25">
      <c r="A41" s="204" t="s">
        <v>1022</v>
      </c>
      <c r="B41" s="248">
        <f>IF(ISERROR(B40/B38),"",IF(B40/B38=0,"",B40/B38))</f>
        <v>1</v>
      </c>
      <c r="C41" s="248">
        <f t="shared" ref="C41:U41" si="27">IF(ISERROR(C40/C38),"",IF(C40/C38=0,"",C40/C38))</f>
        <v>1</v>
      </c>
      <c r="D41" s="248">
        <f t="shared" si="27"/>
        <v>0.77944862155388472</v>
      </c>
      <c r="E41" s="248">
        <f t="shared" si="27"/>
        <v>0.58340048348106366</v>
      </c>
      <c r="F41" s="248">
        <f t="shared" si="27"/>
        <v>0.35760598503740648</v>
      </c>
      <c r="G41" s="248">
        <f t="shared" si="27"/>
        <v>0.38417757541263498</v>
      </c>
      <c r="H41" s="248">
        <f t="shared" si="27"/>
        <v>0.39130434782608609</v>
      </c>
      <c r="I41" s="248">
        <f t="shared" si="27"/>
        <v>0.44124168514412354</v>
      </c>
      <c r="J41" s="248">
        <f t="shared" si="27"/>
        <v>0.5458368376787206</v>
      </c>
      <c r="K41" s="248">
        <f t="shared" si="27"/>
        <v>0.71319311663479823</v>
      </c>
      <c r="L41" s="248">
        <f t="shared" si="27"/>
        <v>1</v>
      </c>
      <c r="M41" s="248">
        <f t="shared" si="27"/>
        <v>1</v>
      </c>
      <c r="N41" s="248">
        <f t="shared" si="27"/>
        <v>1</v>
      </c>
      <c r="O41" s="248">
        <f t="shared" si="27"/>
        <v>1</v>
      </c>
      <c r="P41" s="248">
        <f t="shared" si="27"/>
        <v>1</v>
      </c>
      <c r="Q41" s="248">
        <f t="shared" si="27"/>
        <v>1</v>
      </c>
      <c r="R41" s="248">
        <f t="shared" si="27"/>
        <v>1</v>
      </c>
      <c r="S41" s="248">
        <f t="shared" si="27"/>
        <v>1</v>
      </c>
      <c r="T41" s="248">
        <f t="shared" si="27"/>
        <v>1</v>
      </c>
      <c r="U41" s="248">
        <f t="shared" si="27"/>
        <v>1</v>
      </c>
      <c r="V41" s="987"/>
    </row>
    <row r="42" spans="1:22" s="79" customFormat="1" x14ac:dyDescent="0.25">
      <c r="A42" s="331" t="s">
        <v>947</v>
      </c>
      <c r="B42" s="67">
        <f>IF(ISERROR(100%+B41),"",100%+B41)</f>
        <v>2</v>
      </c>
      <c r="C42" s="67">
        <f t="shared" ref="C42:U42" si="28">IF(ISERROR(100%+C41),"",100%+C41)</f>
        <v>2</v>
      </c>
      <c r="D42" s="67">
        <f t="shared" si="28"/>
        <v>1.7794486215538847</v>
      </c>
      <c r="E42" s="67">
        <f t="shared" si="28"/>
        <v>1.5834004834810638</v>
      </c>
      <c r="F42" s="67">
        <f t="shared" si="28"/>
        <v>1.3576059850374065</v>
      </c>
      <c r="G42" s="67">
        <f t="shared" si="28"/>
        <v>1.3841775754126351</v>
      </c>
      <c r="H42" s="67">
        <f t="shared" si="28"/>
        <v>1.391304347826086</v>
      </c>
      <c r="I42" s="67">
        <f t="shared" si="28"/>
        <v>1.4412416851441234</v>
      </c>
      <c r="J42" s="67">
        <f t="shared" si="28"/>
        <v>1.5458368376787206</v>
      </c>
      <c r="K42" s="67">
        <f t="shared" si="28"/>
        <v>1.7131931166347982</v>
      </c>
      <c r="L42" s="67">
        <f t="shared" si="28"/>
        <v>2</v>
      </c>
      <c r="M42" s="67">
        <f t="shared" si="28"/>
        <v>2</v>
      </c>
      <c r="N42" s="67">
        <f t="shared" si="28"/>
        <v>2</v>
      </c>
      <c r="O42" s="67">
        <f t="shared" si="28"/>
        <v>2</v>
      </c>
      <c r="P42" s="67">
        <f t="shared" si="28"/>
        <v>2</v>
      </c>
      <c r="Q42" s="67">
        <f t="shared" si="28"/>
        <v>2</v>
      </c>
      <c r="R42" s="67">
        <f t="shared" si="28"/>
        <v>2</v>
      </c>
      <c r="S42" s="67">
        <f t="shared" si="28"/>
        <v>2</v>
      </c>
      <c r="T42" s="67">
        <f t="shared" si="28"/>
        <v>2</v>
      </c>
      <c r="U42" s="67">
        <f t="shared" si="28"/>
        <v>2</v>
      </c>
      <c r="V42" s="984"/>
    </row>
    <row r="43" spans="1:22" ht="16.5" customHeight="1" x14ac:dyDescent="0.25">
      <c r="A43" s="583"/>
      <c r="B43" s="584"/>
      <c r="C43" s="584"/>
      <c r="D43" s="585"/>
      <c r="E43" s="585"/>
      <c r="F43" s="585"/>
      <c r="G43" s="585"/>
      <c r="H43" s="585"/>
      <c r="I43" s="585"/>
      <c r="J43" s="584"/>
      <c r="K43" s="584"/>
      <c r="L43" s="586"/>
      <c r="M43" s="584"/>
      <c r="N43" s="584"/>
      <c r="O43" s="581"/>
      <c r="P43" s="581"/>
      <c r="Q43" s="581"/>
      <c r="R43" s="581"/>
      <c r="S43" s="581"/>
      <c r="T43" s="581"/>
      <c r="U43" s="581"/>
      <c r="V43" s="988"/>
    </row>
    <row r="44" spans="1:22" x14ac:dyDescent="0.25">
      <c r="D44" s="250"/>
      <c r="E44" s="250"/>
      <c r="F44" s="250"/>
      <c r="G44" s="250"/>
      <c r="H44" s="250"/>
    </row>
    <row r="45" spans="1:22" ht="15.75" x14ac:dyDescent="0.25">
      <c r="A45" s="253"/>
      <c r="D45" s="251"/>
      <c r="E45" s="251"/>
      <c r="F45" s="251"/>
      <c r="G45" s="251"/>
      <c r="H45" s="251"/>
    </row>
    <row r="46" spans="1:22" x14ac:dyDescent="0.25">
      <c r="B46" s="79"/>
      <c r="D46" s="250"/>
      <c r="E46" s="250"/>
      <c r="F46" s="250"/>
      <c r="G46" s="250"/>
      <c r="H46" s="250"/>
    </row>
    <row r="47" spans="1:22" x14ac:dyDescent="0.25">
      <c r="D47" s="250"/>
      <c r="E47" s="250"/>
      <c r="F47" s="250"/>
      <c r="G47" s="250"/>
      <c r="H47" s="250"/>
    </row>
    <row r="48" spans="1:22" x14ac:dyDescent="0.25">
      <c r="D48" s="250"/>
      <c r="E48" s="250"/>
      <c r="F48" s="250"/>
      <c r="G48" s="250"/>
      <c r="H48" s="250"/>
    </row>
    <row r="49" spans="4:8" x14ac:dyDescent="0.25">
      <c r="D49" s="250"/>
      <c r="E49" s="250"/>
      <c r="F49" s="250"/>
      <c r="G49" s="250"/>
      <c r="H49" s="250"/>
    </row>
    <row r="50" spans="4:8" x14ac:dyDescent="0.25">
      <c r="D50" s="250"/>
      <c r="E50" s="250"/>
      <c r="F50" s="250"/>
      <c r="G50" s="250"/>
      <c r="H50" s="250"/>
    </row>
    <row r="51" spans="4:8" x14ac:dyDescent="0.25">
      <c r="D51" s="250"/>
      <c r="E51" s="250"/>
      <c r="F51" s="250"/>
      <c r="G51" s="250"/>
      <c r="H51" s="250"/>
    </row>
    <row r="52" spans="4:8" x14ac:dyDescent="0.25">
      <c r="D52" s="250"/>
      <c r="E52" s="250"/>
      <c r="F52" s="250"/>
      <c r="G52" s="250"/>
      <c r="H52" s="250"/>
    </row>
    <row r="53" spans="4:8" x14ac:dyDescent="0.25">
      <c r="D53" s="250"/>
      <c r="E53" s="250"/>
      <c r="F53" s="250"/>
      <c r="G53" s="250"/>
      <c r="H53" s="250"/>
    </row>
    <row r="54" spans="4:8" x14ac:dyDescent="0.25">
      <c r="D54" s="250"/>
      <c r="E54" s="250"/>
      <c r="F54" s="250"/>
      <c r="G54" s="250"/>
      <c r="H54" s="250"/>
    </row>
    <row r="55" spans="4:8" x14ac:dyDescent="0.25">
      <c r="D55" s="250"/>
      <c r="E55" s="250"/>
      <c r="F55" s="250"/>
      <c r="G55" s="250"/>
      <c r="H55" s="250"/>
    </row>
    <row r="56" spans="4:8" x14ac:dyDescent="0.25">
      <c r="D56" s="250"/>
      <c r="E56" s="250"/>
      <c r="F56" s="250"/>
      <c r="G56" s="250"/>
      <c r="H56" s="250"/>
    </row>
    <row r="57" spans="4:8" x14ac:dyDescent="0.25">
      <c r="D57" s="250"/>
      <c r="E57" s="250"/>
      <c r="F57" s="250"/>
      <c r="G57" s="250"/>
      <c r="H57" s="250"/>
    </row>
    <row r="58" spans="4:8" x14ac:dyDescent="0.25">
      <c r="D58" s="250"/>
      <c r="E58" s="250"/>
      <c r="F58" s="250"/>
      <c r="G58" s="250"/>
      <c r="H58" s="250"/>
    </row>
    <row r="59" spans="4:8" x14ac:dyDescent="0.25">
      <c r="D59" s="250"/>
      <c r="E59" s="250"/>
      <c r="F59" s="250"/>
      <c r="G59" s="250"/>
      <c r="H59" s="250"/>
    </row>
    <row r="60" spans="4:8" x14ac:dyDescent="0.25">
      <c r="D60" s="250"/>
      <c r="E60" s="250"/>
      <c r="F60" s="250"/>
      <c r="G60" s="250"/>
      <c r="H60" s="250"/>
    </row>
    <row r="61" spans="4:8" x14ac:dyDescent="0.25">
      <c r="D61" s="250"/>
      <c r="E61" s="250"/>
      <c r="F61" s="250"/>
      <c r="G61" s="250"/>
      <c r="H61" s="250"/>
    </row>
    <row r="62" spans="4:8" x14ac:dyDescent="0.25">
      <c r="D62" s="250"/>
      <c r="E62" s="250"/>
      <c r="F62" s="250"/>
      <c r="G62" s="250"/>
      <c r="H62" s="250"/>
    </row>
    <row r="63" spans="4:8" x14ac:dyDescent="0.25">
      <c r="D63" s="250"/>
      <c r="E63" s="250"/>
      <c r="F63" s="250"/>
      <c r="G63" s="250"/>
      <c r="H63" s="250"/>
    </row>
    <row r="64" spans="4:8" x14ac:dyDescent="0.25">
      <c r="D64" s="250"/>
      <c r="E64" s="250"/>
      <c r="F64" s="250"/>
      <c r="G64" s="250"/>
      <c r="H64" s="250"/>
    </row>
    <row r="65" spans="4:8" x14ac:dyDescent="0.25">
      <c r="D65" s="250"/>
      <c r="E65" s="250"/>
      <c r="F65" s="250"/>
      <c r="G65" s="250"/>
      <c r="H65" s="250"/>
    </row>
    <row r="66" spans="4:8" x14ac:dyDescent="0.25">
      <c r="D66" s="250"/>
      <c r="E66" s="250"/>
      <c r="F66" s="250"/>
      <c r="G66" s="250"/>
      <c r="H66" s="250"/>
    </row>
    <row r="67" spans="4:8" x14ac:dyDescent="0.25">
      <c r="D67" s="250"/>
      <c r="E67" s="250"/>
      <c r="F67" s="250"/>
      <c r="G67" s="250"/>
      <c r="H67" s="250"/>
    </row>
    <row r="68" spans="4:8" x14ac:dyDescent="0.25">
      <c r="D68" s="250"/>
      <c r="E68" s="250"/>
      <c r="F68" s="250"/>
      <c r="G68" s="250"/>
      <c r="H68" s="250"/>
    </row>
    <row r="69" spans="4:8" x14ac:dyDescent="0.25">
      <c r="D69" s="250"/>
      <c r="E69" s="250"/>
      <c r="F69" s="250"/>
      <c r="G69" s="250"/>
      <c r="H69" s="250"/>
    </row>
    <row r="70" spans="4:8" x14ac:dyDescent="0.25">
      <c r="D70" s="250"/>
      <c r="E70" s="250"/>
      <c r="F70" s="250"/>
      <c r="G70" s="250"/>
      <c r="H70" s="250"/>
    </row>
    <row r="71" spans="4:8" x14ac:dyDescent="0.25">
      <c r="D71" s="250"/>
      <c r="E71" s="250"/>
      <c r="F71" s="250"/>
      <c r="G71" s="250"/>
      <c r="H71" s="250"/>
    </row>
    <row r="72" spans="4:8" x14ac:dyDescent="0.25">
      <c r="D72" s="250"/>
      <c r="E72" s="250"/>
      <c r="F72" s="250"/>
      <c r="G72" s="250"/>
      <c r="H72" s="250"/>
    </row>
    <row r="73" spans="4:8" x14ac:dyDescent="0.25">
      <c r="D73" s="250"/>
      <c r="E73" s="250"/>
      <c r="F73" s="250"/>
      <c r="G73" s="250"/>
      <c r="H73" s="250"/>
    </row>
    <row r="74" spans="4:8" x14ac:dyDescent="0.25">
      <c r="D74" s="250"/>
      <c r="E74" s="250"/>
      <c r="F74" s="250"/>
      <c r="G74" s="250"/>
      <c r="H74" s="250"/>
    </row>
    <row r="75" spans="4:8" x14ac:dyDescent="0.25">
      <c r="D75" s="250"/>
      <c r="E75" s="250"/>
      <c r="F75" s="250"/>
      <c r="G75" s="250"/>
      <c r="H75" s="250"/>
    </row>
    <row r="76" spans="4:8" x14ac:dyDescent="0.25">
      <c r="D76" s="250"/>
      <c r="E76" s="250"/>
      <c r="F76" s="250"/>
      <c r="G76" s="250"/>
      <c r="H76" s="250"/>
    </row>
    <row r="77" spans="4:8" x14ac:dyDescent="0.25">
      <c r="D77" s="250"/>
      <c r="E77" s="250"/>
      <c r="F77" s="250"/>
      <c r="G77" s="250"/>
      <c r="H77" s="250"/>
    </row>
    <row r="78" spans="4:8" x14ac:dyDescent="0.25">
      <c r="D78" s="250"/>
      <c r="E78" s="250"/>
      <c r="F78" s="250"/>
      <c r="G78" s="250"/>
      <c r="H78" s="250"/>
    </row>
    <row r="79" spans="4:8" x14ac:dyDescent="0.25">
      <c r="D79" s="250"/>
      <c r="E79" s="250"/>
      <c r="F79" s="250"/>
      <c r="G79" s="250"/>
      <c r="H79" s="250"/>
    </row>
    <row r="80" spans="4:8" x14ac:dyDescent="0.25">
      <c r="D80" s="250"/>
      <c r="E80" s="250"/>
      <c r="F80" s="250"/>
      <c r="G80" s="250"/>
      <c r="H80" s="250"/>
    </row>
    <row r="81" spans="4:8" x14ac:dyDescent="0.25">
      <c r="D81" s="250"/>
      <c r="E81" s="250"/>
      <c r="F81" s="250"/>
      <c r="G81" s="250"/>
      <c r="H81" s="250"/>
    </row>
    <row r="82" spans="4:8" x14ac:dyDescent="0.25">
      <c r="D82" s="250"/>
      <c r="E82" s="250"/>
      <c r="F82" s="250"/>
      <c r="G82" s="250"/>
      <c r="H82" s="250"/>
    </row>
    <row r="83" spans="4:8" x14ac:dyDescent="0.25">
      <c r="D83" s="250"/>
      <c r="E83" s="250"/>
      <c r="F83" s="250"/>
      <c r="G83" s="250"/>
      <c r="H83" s="250"/>
    </row>
    <row r="84" spans="4:8" x14ac:dyDescent="0.25">
      <c r="D84" s="250"/>
      <c r="E84" s="250"/>
      <c r="F84" s="250"/>
      <c r="G84" s="250"/>
      <c r="H84" s="250"/>
    </row>
    <row r="85" spans="4:8" x14ac:dyDescent="0.25">
      <c r="D85" s="250"/>
      <c r="E85" s="250"/>
      <c r="F85" s="250"/>
      <c r="G85" s="250"/>
      <c r="H85" s="250"/>
    </row>
    <row r="86" spans="4:8" x14ac:dyDescent="0.25">
      <c r="D86" s="250"/>
      <c r="E86" s="250"/>
      <c r="F86" s="250"/>
      <c r="G86" s="250"/>
      <c r="H86" s="250"/>
    </row>
    <row r="87" spans="4:8" x14ac:dyDescent="0.25">
      <c r="D87" s="250"/>
      <c r="E87" s="250"/>
      <c r="F87" s="250"/>
      <c r="G87" s="250"/>
      <c r="H87" s="250"/>
    </row>
    <row r="88" spans="4:8" x14ac:dyDescent="0.25">
      <c r="D88" s="250"/>
      <c r="E88" s="250"/>
      <c r="F88" s="250"/>
      <c r="G88" s="250"/>
      <c r="H88" s="250"/>
    </row>
    <row r="89" spans="4:8" x14ac:dyDescent="0.25">
      <c r="D89" s="250"/>
      <c r="E89" s="250"/>
      <c r="F89" s="250"/>
      <c r="G89" s="250"/>
      <c r="H89" s="250"/>
    </row>
    <row r="90" spans="4:8" x14ac:dyDescent="0.25">
      <c r="D90" s="250"/>
      <c r="E90" s="250"/>
      <c r="F90" s="250"/>
      <c r="G90" s="250"/>
      <c r="H90" s="250"/>
    </row>
    <row r="91" spans="4:8" x14ac:dyDescent="0.25">
      <c r="D91" s="250"/>
      <c r="E91" s="250"/>
      <c r="F91" s="250"/>
      <c r="G91" s="250"/>
      <c r="H91" s="250"/>
    </row>
    <row r="92" spans="4:8" x14ac:dyDescent="0.25">
      <c r="D92" s="250"/>
      <c r="E92" s="250"/>
      <c r="F92" s="250"/>
      <c r="G92" s="250"/>
      <c r="H92" s="250"/>
    </row>
    <row r="93" spans="4:8" x14ac:dyDescent="0.25">
      <c r="D93" s="250"/>
      <c r="E93" s="250"/>
      <c r="F93" s="250"/>
      <c r="G93" s="250"/>
      <c r="H93" s="250"/>
    </row>
    <row r="94" spans="4:8" x14ac:dyDescent="0.25">
      <c r="D94" s="250"/>
      <c r="E94" s="250"/>
      <c r="F94" s="250"/>
      <c r="G94" s="250"/>
      <c r="H94" s="250"/>
    </row>
    <row r="95" spans="4:8" x14ac:dyDescent="0.25">
      <c r="D95" s="250"/>
      <c r="E95" s="250"/>
      <c r="F95" s="250"/>
      <c r="G95" s="250"/>
      <c r="H95" s="250"/>
    </row>
    <row r="96" spans="4:8" x14ac:dyDescent="0.25">
      <c r="D96" s="250"/>
      <c r="E96" s="250"/>
      <c r="F96" s="250"/>
      <c r="G96" s="250"/>
      <c r="H96" s="250"/>
    </row>
    <row r="97" spans="4:8" x14ac:dyDescent="0.25">
      <c r="D97" s="250"/>
      <c r="E97" s="250"/>
      <c r="F97" s="250"/>
      <c r="G97" s="250"/>
      <c r="H97" s="250"/>
    </row>
    <row r="98" spans="4:8" x14ac:dyDescent="0.25">
      <c r="D98" s="250"/>
      <c r="E98" s="250"/>
      <c r="F98" s="250"/>
      <c r="G98" s="250"/>
      <c r="H98" s="250"/>
    </row>
    <row r="99" spans="4:8" x14ac:dyDescent="0.25">
      <c r="D99" s="250"/>
      <c r="E99" s="250"/>
      <c r="F99" s="250"/>
      <c r="G99" s="250"/>
      <c r="H99" s="250"/>
    </row>
    <row r="100" spans="4:8" x14ac:dyDescent="0.25">
      <c r="D100" s="250"/>
      <c r="E100" s="250"/>
      <c r="F100" s="250"/>
      <c r="G100" s="250"/>
      <c r="H100" s="250"/>
    </row>
    <row r="101" spans="4:8" x14ac:dyDescent="0.25">
      <c r="D101" s="250"/>
      <c r="E101" s="250"/>
      <c r="F101" s="250"/>
      <c r="G101" s="250"/>
      <c r="H101" s="250"/>
    </row>
    <row r="102" spans="4:8" x14ac:dyDescent="0.25">
      <c r="D102" s="250"/>
      <c r="E102" s="250"/>
      <c r="F102" s="250"/>
      <c r="G102" s="250"/>
      <c r="H102" s="250"/>
    </row>
    <row r="103" spans="4:8" x14ac:dyDescent="0.25">
      <c r="D103" s="250"/>
      <c r="E103" s="250"/>
      <c r="F103" s="250"/>
      <c r="G103" s="250"/>
      <c r="H103" s="250"/>
    </row>
    <row r="104" spans="4:8" x14ac:dyDescent="0.25">
      <c r="D104" s="250"/>
      <c r="E104" s="250"/>
      <c r="F104" s="250"/>
      <c r="G104" s="250"/>
      <c r="H104" s="250"/>
    </row>
    <row r="105" spans="4:8" x14ac:dyDescent="0.25">
      <c r="D105" s="250"/>
      <c r="E105" s="250"/>
      <c r="F105" s="250"/>
      <c r="G105" s="250"/>
      <c r="H105" s="250"/>
    </row>
    <row r="106" spans="4:8" x14ac:dyDescent="0.25">
      <c r="D106" s="250"/>
      <c r="E106" s="250"/>
      <c r="F106" s="250"/>
      <c r="G106" s="250"/>
      <c r="H106" s="250"/>
    </row>
    <row r="107" spans="4:8" x14ac:dyDescent="0.25">
      <c r="D107" s="250"/>
      <c r="E107" s="250"/>
      <c r="F107" s="250"/>
      <c r="G107" s="250"/>
      <c r="H107" s="250"/>
    </row>
    <row r="108" spans="4:8" x14ac:dyDescent="0.25">
      <c r="D108" s="250"/>
      <c r="E108" s="250"/>
      <c r="F108" s="250"/>
      <c r="G108" s="250"/>
      <c r="H108" s="250"/>
    </row>
    <row r="109" spans="4:8" x14ac:dyDescent="0.25">
      <c r="D109" s="250"/>
      <c r="E109" s="250"/>
      <c r="F109" s="250"/>
      <c r="G109" s="250"/>
      <c r="H109" s="250"/>
    </row>
    <row r="110" spans="4:8" x14ac:dyDescent="0.25">
      <c r="D110" s="250"/>
      <c r="E110" s="250"/>
      <c r="F110" s="250"/>
      <c r="G110" s="250"/>
      <c r="H110" s="250"/>
    </row>
    <row r="111" spans="4:8" x14ac:dyDescent="0.25">
      <c r="D111" s="250"/>
      <c r="E111" s="250"/>
      <c r="F111" s="250"/>
      <c r="G111" s="250"/>
      <c r="H111" s="250"/>
    </row>
    <row r="112" spans="4:8" x14ac:dyDescent="0.25">
      <c r="D112" s="250"/>
      <c r="E112" s="250"/>
      <c r="F112" s="250"/>
      <c r="G112" s="250"/>
      <c r="H112" s="250"/>
    </row>
    <row r="113" spans="4:8" x14ac:dyDescent="0.25">
      <c r="D113" s="250"/>
      <c r="E113" s="250"/>
      <c r="F113" s="250"/>
      <c r="G113" s="250"/>
      <c r="H113" s="250"/>
    </row>
    <row r="114" spans="4:8" x14ac:dyDescent="0.25">
      <c r="D114" s="250"/>
      <c r="E114" s="250"/>
      <c r="F114" s="250"/>
      <c r="G114" s="250"/>
      <c r="H114" s="250"/>
    </row>
    <row r="115" spans="4:8" x14ac:dyDescent="0.25">
      <c r="D115" s="250"/>
      <c r="E115" s="250"/>
      <c r="F115" s="250"/>
      <c r="G115" s="250"/>
      <c r="H115" s="250"/>
    </row>
    <row r="116" spans="4:8" x14ac:dyDescent="0.25">
      <c r="D116" s="250"/>
      <c r="E116" s="250"/>
      <c r="F116" s="250"/>
      <c r="G116" s="250"/>
      <c r="H116" s="250"/>
    </row>
    <row r="117" spans="4:8" x14ac:dyDescent="0.25">
      <c r="D117" s="250"/>
      <c r="E117" s="250"/>
      <c r="F117" s="250"/>
      <c r="G117" s="250"/>
      <c r="H117" s="250"/>
    </row>
    <row r="118" spans="4:8" x14ac:dyDescent="0.25">
      <c r="D118" s="250"/>
      <c r="E118" s="250"/>
      <c r="F118" s="250"/>
      <c r="G118" s="250"/>
      <c r="H118" s="250"/>
    </row>
    <row r="119" spans="4:8" x14ac:dyDescent="0.25">
      <c r="D119" s="250"/>
      <c r="E119" s="250"/>
      <c r="F119" s="250"/>
      <c r="G119" s="250"/>
      <c r="H119" s="250"/>
    </row>
    <row r="120" spans="4:8" x14ac:dyDescent="0.25">
      <c r="D120" s="250"/>
      <c r="E120" s="250"/>
      <c r="F120" s="250"/>
      <c r="G120" s="250"/>
      <c r="H120" s="250"/>
    </row>
    <row r="121" spans="4:8" x14ac:dyDescent="0.25">
      <c r="D121" s="250"/>
      <c r="E121" s="250"/>
      <c r="F121" s="250"/>
      <c r="G121" s="250"/>
      <c r="H121" s="250"/>
    </row>
    <row r="122" spans="4:8" x14ac:dyDescent="0.25">
      <c r="D122" s="250"/>
      <c r="E122" s="250"/>
      <c r="F122" s="250"/>
      <c r="G122" s="250"/>
      <c r="H122" s="250"/>
    </row>
    <row r="123" spans="4:8" x14ac:dyDescent="0.25">
      <c r="D123" s="250"/>
      <c r="E123" s="250"/>
      <c r="F123" s="250"/>
      <c r="G123" s="250"/>
      <c r="H123" s="250"/>
    </row>
    <row r="124" spans="4:8" x14ac:dyDescent="0.25">
      <c r="D124" s="250"/>
      <c r="E124" s="250"/>
      <c r="F124" s="250"/>
      <c r="G124" s="250"/>
      <c r="H124" s="250"/>
    </row>
    <row r="125" spans="4:8" x14ac:dyDescent="0.25">
      <c r="D125" s="250"/>
      <c r="E125" s="250"/>
      <c r="F125" s="250"/>
      <c r="G125" s="250"/>
      <c r="H125" s="250"/>
    </row>
    <row r="126" spans="4:8" x14ac:dyDescent="0.25">
      <c r="D126" s="250"/>
      <c r="E126" s="250"/>
      <c r="F126" s="250"/>
      <c r="G126" s="250"/>
      <c r="H126" s="250"/>
    </row>
    <row r="127" spans="4:8" x14ac:dyDescent="0.25">
      <c r="D127" s="250"/>
      <c r="E127" s="250"/>
      <c r="F127" s="250"/>
      <c r="G127" s="250"/>
      <c r="H127" s="250"/>
    </row>
    <row r="128" spans="4:8" x14ac:dyDescent="0.25">
      <c r="D128" s="250"/>
      <c r="E128" s="250"/>
      <c r="F128" s="250"/>
      <c r="G128" s="250"/>
      <c r="H128" s="250"/>
    </row>
    <row r="129" spans="4:8" x14ac:dyDescent="0.25">
      <c r="D129" s="250"/>
      <c r="E129" s="250"/>
      <c r="F129" s="250"/>
      <c r="G129" s="250"/>
      <c r="H129" s="250"/>
    </row>
    <row r="130" spans="4:8" x14ac:dyDescent="0.25">
      <c r="D130" s="250"/>
      <c r="E130" s="250"/>
      <c r="F130" s="250"/>
      <c r="G130" s="250"/>
      <c r="H130" s="250"/>
    </row>
    <row r="131" spans="4:8" x14ac:dyDescent="0.25">
      <c r="D131" s="250"/>
      <c r="E131" s="250"/>
      <c r="F131" s="250"/>
      <c r="G131" s="250"/>
      <c r="H131" s="250"/>
    </row>
    <row r="132" spans="4:8" x14ac:dyDescent="0.25">
      <c r="D132" s="250"/>
      <c r="E132" s="250"/>
      <c r="F132" s="250"/>
      <c r="G132" s="250"/>
      <c r="H132" s="250"/>
    </row>
    <row r="133" spans="4:8" x14ac:dyDescent="0.25">
      <c r="D133" s="250"/>
      <c r="E133" s="250"/>
      <c r="F133" s="250"/>
      <c r="G133" s="250"/>
      <c r="H133" s="250"/>
    </row>
    <row r="134" spans="4:8" x14ac:dyDescent="0.25">
      <c r="D134" s="250"/>
      <c r="E134" s="250"/>
      <c r="F134" s="250"/>
      <c r="G134" s="250"/>
      <c r="H134" s="250"/>
    </row>
    <row r="135" spans="4:8" x14ac:dyDescent="0.25">
      <c r="D135" s="250"/>
      <c r="E135" s="250"/>
      <c r="F135" s="250"/>
      <c r="G135" s="250"/>
      <c r="H135" s="250"/>
    </row>
    <row r="136" spans="4:8" x14ac:dyDescent="0.25">
      <c r="D136" s="250"/>
      <c r="E136" s="250"/>
      <c r="F136" s="250"/>
      <c r="G136" s="250"/>
      <c r="H136" s="250"/>
    </row>
    <row r="137" spans="4:8" x14ac:dyDescent="0.25">
      <c r="D137" s="250"/>
      <c r="E137" s="250"/>
      <c r="F137" s="250"/>
      <c r="G137" s="250"/>
      <c r="H137" s="250"/>
    </row>
    <row r="138" spans="4:8" x14ac:dyDescent="0.25">
      <c r="D138" s="250"/>
      <c r="E138" s="250"/>
      <c r="F138" s="250"/>
      <c r="G138" s="250"/>
      <c r="H138" s="250"/>
    </row>
    <row r="139" spans="4:8" x14ac:dyDescent="0.25">
      <c r="D139" s="250"/>
      <c r="E139" s="250"/>
      <c r="F139" s="250"/>
      <c r="G139" s="250"/>
      <c r="H139" s="250"/>
    </row>
    <row r="140" spans="4:8" x14ac:dyDescent="0.25">
      <c r="D140" s="250"/>
      <c r="E140" s="250"/>
      <c r="F140" s="250"/>
      <c r="G140" s="250"/>
      <c r="H140" s="250"/>
    </row>
    <row r="141" spans="4:8" x14ac:dyDescent="0.25">
      <c r="D141" s="250"/>
      <c r="E141" s="250"/>
      <c r="F141" s="250"/>
      <c r="G141" s="250"/>
      <c r="H141" s="250"/>
    </row>
    <row r="142" spans="4:8" x14ac:dyDescent="0.25">
      <c r="D142" s="250"/>
      <c r="E142" s="250"/>
      <c r="F142" s="250"/>
      <c r="G142" s="250"/>
      <c r="H142" s="250"/>
    </row>
    <row r="143" spans="4:8" x14ac:dyDescent="0.25">
      <c r="D143" s="250"/>
      <c r="E143" s="250"/>
      <c r="F143" s="250"/>
      <c r="G143" s="250"/>
      <c r="H143" s="250"/>
    </row>
    <row r="144" spans="4:8" x14ac:dyDescent="0.25">
      <c r="D144" s="250"/>
      <c r="E144" s="250"/>
      <c r="F144" s="250"/>
      <c r="G144" s="250"/>
      <c r="H144" s="250"/>
    </row>
    <row r="145" spans="4:8" x14ac:dyDescent="0.25">
      <c r="D145" s="250"/>
      <c r="E145" s="250"/>
      <c r="F145" s="250"/>
      <c r="G145" s="250"/>
      <c r="H145" s="250"/>
    </row>
    <row r="146" spans="4:8" x14ac:dyDescent="0.25">
      <c r="D146" s="250"/>
      <c r="E146" s="250"/>
      <c r="F146" s="250"/>
      <c r="G146" s="250"/>
      <c r="H146" s="250"/>
    </row>
    <row r="147" spans="4:8" x14ac:dyDescent="0.25">
      <c r="D147" s="250"/>
      <c r="E147" s="250"/>
      <c r="F147" s="250"/>
      <c r="G147" s="250"/>
      <c r="H147" s="250"/>
    </row>
    <row r="148" spans="4:8" x14ac:dyDescent="0.25">
      <c r="D148" s="250"/>
      <c r="E148" s="250"/>
      <c r="F148" s="250"/>
      <c r="G148" s="250"/>
      <c r="H148" s="250"/>
    </row>
    <row r="149" spans="4:8" x14ac:dyDescent="0.25">
      <c r="D149" s="250"/>
      <c r="E149" s="250"/>
      <c r="F149" s="250"/>
      <c r="G149" s="250"/>
      <c r="H149" s="250"/>
    </row>
    <row r="150" spans="4:8" x14ac:dyDescent="0.25">
      <c r="D150" s="250"/>
      <c r="E150" s="250"/>
      <c r="F150" s="250"/>
      <c r="G150" s="250"/>
      <c r="H150" s="250"/>
    </row>
    <row r="151" spans="4:8" x14ac:dyDescent="0.25">
      <c r="D151" s="250"/>
      <c r="E151" s="250"/>
      <c r="F151" s="250"/>
      <c r="G151" s="250"/>
      <c r="H151" s="250"/>
    </row>
    <row r="152" spans="4:8" x14ac:dyDescent="0.25">
      <c r="D152" s="250"/>
      <c r="E152" s="250"/>
      <c r="F152" s="250"/>
      <c r="G152" s="250"/>
      <c r="H152" s="250"/>
    </row>
    <row r="153" spans="4:8" x14ac:dyDescent="0.25">
      <c r="D153" s="250"/>
      <c r="E153" s="250"/>
      <c r="F153" s="250"/>
      <c r="G153" s="250"/>
      <c r="H153" s="250"/>
    </row>
    <row r="154" spans="4:8" x14ac:dyDescent="0.25">
      <c r="D154" s="250"/>
      <c r="E154" s="250"/>
      <c r="F154" s="250"/>
      <c r="G154" s="250"/>
      <c r="H154" s="250"/>
    </row>
    <row r="155" spans="4:8" x14ac:dyDescent="0.25">
      <c r="D155" s="250"/>
      <c r="E155" s="250"/>
      <c r="F155" s="250"/>
      <c r="G155" s="250"/>
      <c r="H155" s="250"/>
    </row>
    <row r="156" spans="4:8" x14ac:dyDescent="0.25">
      <c r="D156" s="250"/>
      <c r="E156" s="250"/>
      <c r="F156" s="250"/>
      <c r="G156" s="250"/>
      <c r="H156" s="250"/>
    </row>
    <row r="157" spans="4:8" x14ac:dyDescent="0.25">
      <c r="D157" s="250"/>
      <c r="E157" s="250"/>
      <c r="F157" s="250"/>
      <c r="G157" s="250"/>
      <c r="H157" s="250"/>
    </row>
    <row r="158" spans="4:8" x14ac:dyDescent="0.25">
      <c r="D158" s="250"/>
      <c r="E158" s="250"/>
      <c r="F158" s="250"/>
      <c r="G158" s="250"/>
      <c r="H158" s="250"/>
    </row>
    <row r="159" spans="4:8" x14ac:dyDescent="0.25">
      <c r="D159" s="250"/>
      <c r="E159" s="250"/>
      <c r="F159" s="250"/>
      <c r="G159" s="250"/>
      <c r="H159" s="250"/>
    </row>
    <row r="160" spans="4:8" x14ac:dyDescent="0.25">
      <c r="D160" s="250"/>
      <c r="E160" s="250"/>
      <c r="F160" s="250"/>
      <c r="G160" s="250"/>
      <c r="H160" s="250"/>
    </row>
    <row r="161" spans="4:8" x14ac:dyDescent="0.25">
      <c r="D161" s="250"/>
      <c r="E161" s="250"/>
      <c r="F161" s="250"/>
      <c r="G161" s="250"/>
      <c r="H161" s="250"/>
    </row>
    <row r="162" spans="4:8" x14ac:dyDescent="0.25">
      <c r="D162" s="250"/>
      <c r="E162" s="250"/>
      <c r="F162" s="250"/>
      <c r="G162" s="250"/>
      <c r="H162" s="250"/>
    </row>
  </sheetData>
  <protectedRanges>
    <protectedRange sqref="B5:U6 B37:U37" name="Range1"/>
  </protectedRanges>
  <phoneticPr fontId="30" type="noConversion"/>
  <conditionalFormatting sqref="B37:U37">
    <cfRule type="cellIs" dxfId="71" priority="1" stopIfTrue="1" operator="greaterThan">
      <formula>0</formula>
    </cfRule>
    <cfRule type="cellIs" dxfId="70" priority="2" stopIfTrue="1" operator="greaterThan">
      <formula>0</formula>
    </cfRule>
  </conditionalFormatting>
  <pageMargins left="0.2" right="0" top="0.25" bottom="0.25" header="0.3" footer="0.3"/>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Y48"/>
  <sheetViews>
    <sheetView zoomScaleNormal="100" workbookViewId="0">
      <selection activeCell="N51" sqref="N51"/>
    </sheetView>
  </sheetViews>
  <sheetFormatPr defaultRowHeight="12.75" x14ac:dyDescent="0.2"/>
  <cols>
    <col min="1" max="1" width="4.140625" style="118" customWidth="1"/>
    <col min="2" max="2" width="21.28515625" style="119" customWidth="1"/>
    <col min="3" max="3" width="10.7109375" style="120" customWidth="1"/>
    <col min="4" max="4" width="10.7109375" style="121" customWidth="1"/>
    <col min="5" max="8" width="10.7109375" style="116" customWidth="1"/>
    <col min="9" max="9" width="10.7109375" style="117" customWidth="1"/>
    <col min="10" max="15" width="10.7109375" style="111" customWidth="1"/>
    <col min="16" max="16" width="10.7109375" style="120" customWidth="1"/>
    <col min="17" max="17" width="10.7109375" style="116" customWidth="1"/>
    <col min="18" max="18" width="10.7109375" style="117" customWidth="1"/>
    <col min="19" max="19" width="10.7109375" style="111" customWidth="1"/>
    <col min="20" max="20" width="10.7109375" style="120" customWidth="1"/>
    <col min="21" max="21" width="10.7109375" style="116" customWidth="1"/>
    <col min="22" max="22" width="10.7109375" style="117" customWidth="1"/>
    <col min="23" max="50" width="10.7109375" style="111" customWidth="1"/>
    <col min="51" max="51" width="5.85546875" style="111" customWidth="1"/>
    <col min="52" max="16384" width="9.140625" style="111"/>
  </cols>
  <sheetData>
    <row r="1" spans="1:51" x14ac:dyDescent="0.2">
      <c r="A1" s="596"/>
      <c r="B1" s="587"/>
      <c r="C1" s="588"/>
      <c r="D1" s="589"/>
      <c r="E1" s="590"/>
      <c r="F1" s="590"/>
      <c r="G1" s="590"/>
      <c r="H1" s="590"/>
      <c r="I1" s="591"/>
      <c r="J1" s="592"/>
      <c r="K1" s="592"/>
      <c r="L1" s="592"/>
      <c r="M1" s="592"/>
      <c r="N1" s="592"/>
      <c r="O1" s="592"/>
      <c r="P1" s="593"/>
      <c r="Q1" s="590"/>
      <c r="R1" s="591"/>
      <c r="S1" s="592"/>
      <c r="T1" s="593"/>
      <c r="U1" s="590"/>
      <c r="V1" s="591"/>
      <c r="W1" s="592"/>
      <c r="X1" s="592"/>
      <c r="Y1" s="592"/>
      <c r="Z1" s="592"/>
      <c r="AA1" s="592"/>
      <c r="AB1" s="592"/>
      <c r="AC1" s="592"/>
      <c r="AD1" s="592"/>
      <c r="AE1" s="592"/>
      <c r="AF1" s="592"/>
      <c r="AG1" s="592"/>
      <c r="AH1" s="592"/>
      <c r="AI1" s="592"/>
      <c r="AJ1" s="592"/>
      <c r="AK1" s="592"/>
      <c r="AL1" s="592"/>
      <c r="AM1" s="592"/>
      <c r="AN1" s="592"/>
      <c r="AO1" s="592"/>
      <c r="AP1" s="592"/>
      <c r="AQ1" s="592"/>
      <c r="AR1" s="592"/>
      <c r="AS1" s="592"/>
      <c r="AT1" s="592"/>
      <c r="AU1" s="592"/>
      <c r="AV1" s="592"/>
      <c r="AW1" s="592"/>
      <c r="AX1" s="592"/>
      <c r="AY1" s="602"/>
    </row>
    <row r="2" spans="1:51" s="113" customFormat="1" ht="36" customHeight="1" x14ac:dyDescent="0.2">
      <c r="A2" s="597"/>
      <c r="B2" s="594" t="s">
        <v>615</v>
      </c>
      <c r="C2" s="112" t="s">
        <v>504</v>
      </c>
      <c r="D2" s="112" t="s">
        <v>390</v>
      </c>
      <c r="E2" s="112" t="s">
        <v>502</v>
      </c>
      <c r="F2" s="112" t="s">
        <v>503</v>
      </c>
      <c r="G2" s="112" t="s">
        <v>388</v>
      </c>
      <c r="H2" s="112" t="s">
        <v>389</v>
      </c>
      <c r="I2" s="112" t="s">
        <v>305</v>
      </c>
      <c r="J2" s="112" t="s">
        <v>502</v>
      </c>
      <c r="K2" s="112" t="s">
        <v>503</v>
      </c>
      <c r="L2" s="112" t="s">
        <v>388</v>
      </c>
      <c r="M2" s="112" t="s">
        <v>389</v>
      </c>
      <c r="N2" s="112" t="s">
        <v>305</v>
      </c>
      <c r="O2" s="112" t="s">
        <v>510</v>
      </c>
      <c r="P2" s="112" t="s">
        <v>305</v>
      </c>
      <c r="Q2" s="112" t="s">
        <v>510</v>
      </c>
      <c r="R2" s="112" t="s">
        <v>305</v>
      </c>
      <c r="S2" s="112" t="s">
        <v>510</v>
      </c>
      <c r="T2" s="112" t="s">
        <v>305</v>
      </c>
      <c r="U2" s="112" t="s">
        <v>510</v>
      </c>
      <c r="V2" s="112" t="s">
        <v>305</v>
      </c>
      <c r="W2" s="112" t="s">
        <v>510</v>
      </c>
      <c r="X2" s="112" t="s">
        <v>305</v>
      </c>
      <c r="Y2" s="112" t="s">
        <v>510</v>
      </c>
      <c r="Z2" s="112" t="s">
        <v>305</v>
      </c>
      <c r="AA2" s="112" t="s">
        <v>510</v>
      </c>
      <c r="AB2" s="112" t="s">
        <v>305</v>
      </c>
      <c r="AC2" s="112" t="s">
        <v>510</v>
      </c>
      <c r="AD2" s="112" t="s">
        <v>305</v>
      </c>
      <c r="AE2" s="112" t="s">
        <v>510</v>
      </c>
      <c r="AF2" s="601" t="s">
        <v>305</v>
      </c>
      <c r="AG2" s="112" t="s">
        <v>510</v>
      </c>
      <c r="AH2" s="601" t="s">
        <v>305</v>
      </c>
      <c r="AI2" s="112" t="s">
        <v>510</v>
      </c>
      <c r="AJ2" s="601" t="s">
        <v>305</v>
      </c>
      <c r="AK2" s="112" t="s">
        <v>510</v>
      </c>
      <c r="AL2" s="601" t="s">
        <v>305</v>
      </c>
      <c r="AM2" s="112" t="s">
        <v>510</v>
      </c>
      <c r="AN2" s="601" t="s">
        <v>305</v>
      </c>
      <c r="AO2" s="112" t="s">
        <v>510</v>
      </c>
      <c r="AP2" s="601" t="s">
        <v>305</v>
      </c>
      <c r="AQ2" s="112" t="s">
        <v>510</v>
      </c>
      <c r="AR2" s="601" t="s">
        <v>305</v>
      </c>
      <c r="AS2" s="112" t="s">
        <v>510</v>
      </c>
      <c r="AT2" s="601" t="s">
        <v>305</v>
      </c>
      <c r="AU2" s="112" t="s">
        <v>510</v>
      </c>
      <c r="AV2" s="601" t="s">
        <v>305</v>
      </c>
      <c r="AW2" s="112" t="s">
        <v>510</v>
      </c>
      <c r="AX2" s="601" t="s">
        <v>305</v>
      </c>
      <c r="AY2" s="603"/>
    </row>
    <row r="3" spans="1:51" s="115" customFormat="1" ht="16.5" customHeight="1" x14ac:dyDescent="0.2">
      <c r="A3" s="598"/>
      <c r="B3" s="594" t="s">
        <v>518</v>
      </c>
      <c r="C3" s="114"/>
      <c r="D3" s="114" t="s">
        <v>471</v>
      </c>
      <c r="E3" s="1012">
        <f>INPUT!C10</f>
        <v>2020</v>
      </c>
      <c r="F3" s="1013">
        <f>E3</f>
        <v>2020</v>
      </c>
      <c r="G3" s="1013">
        <f>F3</f>
        <v>2020</v>
      </c>
      <c r="H3" s="1013">
        <f>F3</f>
        <v>2020</v>
      </c>
      <c r="I3" s="1013">
        <f>F3</f>
        <v>2020</v>
      </c>
      <c r="J3" s="1013">
        <f>E3+1</f>
        <v>2021</v>
      </c>
      <c r="K3" s="1013">
        <f>J3</f>
        <v>2021</v>
      </c>
      <c r="L3" s="1013">
        <f>K3</f>
        <v>2021</v>
      </c>
      <c r="M3" s="1013">
        <f>K3</f>
        <v>2021</v>
      </c>
      <c r="N3" s="1013">
        <f>M3</f>
        <v>2021</v>
      </c>
      <c r="O3" s="1013">
        <f>J3+1</f>
        <v>2022</v>
      </c>
      <c r="P3" s="1013">
        <f>O3</f>
        <v>2022</v>
      </c>
      <c r="Q3" s="1013">
        <f>O3+1</f>
        <v>2023</v>
      </c>
      <c r="R3" s="1013">
        <f>Q3</f>
        <v>2023</v>
      </c>
      <c r="S3" s="1013">
        <f>Q3+1</f>
        <v>2024</v>
      </c>
      <c r="T3" s="1013">
        <f>S3</f>
        <v>2024</v>
      </c>
      <c r="U3" s="1013">
        <f>S3+1</f>
        <v>2025</v>
      </c>
      <c r="V3" s="1013">
        <f>U3</f>
        <v>2025</v>
      </c>
      <c r="W3" s="1013">
        <f>V3+1</f>
        <v>2026</v>
      </c>
      <c r="X3" s="1013">
        <f>W3</f>
        <v>2026</v>
      </c>
      <c r="Y3" s="1013">
        <f>W3+1</f>
        <v>2027</v>
      </c>
      <c r="Z3" s="1013">
        <f>Y3</f>
        <v>2027</v>
      </c>
      <c r="AA3" s="1013">
        <f>Y3+1</f>
        <v>2028</v>
      </c>
      <c r="AB3" s="1013">
        <f>AA3</f>
        <v>2028</v>
      </c>
      <c r="AC3" s="1013">
        <f>AA3+1</f>
        <v>2029</v>
      </c>
      <c r="AD3" s="1013">
        <f>AC3</f>
        <v>2029</v>
      </c>
      <c r="AE3" s="1013">
        <f>AC3+1</f>
        <v>2030</v>
      </c>
      <c r="AF3" s="1014">
        <f>AE3</f>
        <v>2030</v>
      </c>
      <c r="AG3" s="1015">
        <f>AE3+1</f>
        <v>2031</v>
      </c>
      <c r="AH3" s="1014">
        <f>AG3</f>
        <v>2031</v>
      </c>
      <c r="AI3" s="1015">
        <f>AG3+1</f>
        <v>2032</v>
      </c>
      <c r="AJ3" s="1014">
        <f>AI3</f>
        <v>2032</v>
      </c>
      <c r="AK3" s="1015">
        <f>AI3+1</f>
        <v>2033</v>
      </c>
      <c r="AL3" s="1014">
        <f>AK3</f>
        <v>2033</v>
      </c>
      <c r="AM3" s="1015">
        <f>AK3+1</f>
        <v>2034</v>
      </c>
      <c r="AN3" s="1014">
        <f>AM3</f>
        <v>2034</v>
      </c>
      <c r="AO3" s="1015">
        <f>AM3+1</f>
        <v>2035</v>
      </c>
      <c r="AP3" s="1014">
        <f>AO3</f>
        <v>2035</v>
      </c>
      <c r="AQ3" s="1015">
        <f>AO3+1</f>
        <v>2036</v>
      </c>
      <c r="AR3" s="1014">
        <f>AQ3</f>
        <v>2036</v>
      </c>
      <c r="AS3" s="1014">
        <f>AQ3+1</f>
        <v>2037</v>
      </c>
      <c r="AT3" s="1014">
        <f>AS3</f>
        <v>2037</v>
      </c>
      <c r="AU3" s="1014">
        <f>AS3+1</f>
        <v>2038</v>
      </c>
      <c r="AV3" s="1014">
        <f>AU3</f>
        <v>2038</v>
      </c>
      <c r="AW3" s="1014">
        <f>AU3+1</f>
        <v>2039</v>
      </c>
      <c r="AX3" s="1013">
        <f>AW3</f>
        <v>2039</v>
      </c>
      <c r="AY3" s="604"/>
    </row>
    <row r="4" spans="1:51" s="116" customFormat="1" x14ac:dyDescent="0.2">
      <c r="A4" s="599">
        <v>1</v>
      </c>
      <c r="B4" s="595"/>
      <c r="C4" s="207">
        <v>0</v>
      </c>
      <c r="D4" s="207">
        <v>0</v>
      </c>
      <c r="E4" s="207">
        <v>0</v>
      </c>
      <c r="F4" s="207">
        <v>0</v>
      </c>
      <c r="G4" s="607">
        <f t="shared" ref="G4:G10" si="0">SUM(E4:F4)</f>
        <v>0</v>
      </c>
      <c r="H4" s="607">
        <f t="shared" ref="H4:H10" si="1">(D4+E4)*C4/100+F4*C4/100/2</f>
        <v>0</v>
      </c>
      <c r="I4" s="607">
        <f>D4+G4-H4</f>
        <v>0</v>
      </c>
      <c r="J4" s="207">
        <v>0</v>
      </c>
      <c r="K4" s="207">
        <v>0</v>
      </c>
      <c r="L4" s="607">
        <f t="shared" ref="L4:L10" si="2">SUM(J4:K4)</f>
        <v>0</v>
      </c>
      <c r="M4" s="607">
        <f>(I4+J4)*C4/100+K4*H4/100/2</f>
        <v>0</v>
      </c>
      <c r="N4" s="607">
        <f>I4+L4-M4</f>
        <v>0</v>
      </c>
      <c r="O4" s="607">
        <f>N4*C4/100</f>
        <v>0</v>
      </c>
      <c r="P4" s="607">
        <f t="shared" ref="P4:P10" si="3">N4-O4</f>
        <v>0</v>
      </c>
      <c r="Q4" s="607">
        <f t="shared" ref="Q4:Q10" si="4">P4*C4/100</f>
        <v>0</v>
      </c>
      <c r="R4" s="607">
        <f t="shared" ref="R4:R10" si="5">P4-Q4</f>
        <v>0</v>
      </c>
      <c r="S4" s="607">
        <f t="shared" ref="S4:S10" si="6">R4*C4/100</f>
        <v>0</v>
      </c>
      <c r="T4" s="607">
        <f t="shared" ref="T4:T10" si="7">R4-S4</f>
        <v>0</v>
      </c>
      <c r="U4" s="607">
        <f t="shared" ref="U4:U10" si="8">T4*C4/100</f>
        <v>0</v>
      </c>
      <c r="V4" s="607">
        <f t="shared" ref="V4:V10" si="9">T4-U4</f>
        <v>0</v>
      </c>
      <c r="W4" s="607">
        <f t="shared" ref="W4:W10" si="10">V4*C4/100</f>
        <v>0</v>
      </c>
      <c r="X4" s="607">
        <f t="shared" ref="X4:X10" si="11">V4-W4</f>
        <v>0</v>
      </c>
      <c r="Y4" s="607">
        <f t="shared" ref="Y4:Y10" si="12">X4*C4/100</f>
        <v>0</v>
      </c>
      <c r="Z4" s="607">
        <f t="shared" ref="Z4:Z10" si="13">X4-Y4</f>
        <v>0</v>
      </c>
      <c r="AA4" s="607">
        <f t="shared" ref="AA4:AA10" si="14">Z4*C4/100</f>
        <v>0</v>
      </c>
      <c r="AB4" s="607">
        <f t="shared" ref="AB4:AB10" si="15">Z4-AA4</f>
        <v>0</v>
      </c>
      <c r="AC4" s="607">
        <f t="shared" ref="AC4:AC10" si="16">AB4*C4/100</f>
        <v>0</v>
      </c>
      <c r="AD4" s="607">
        <f t="shared" ref="AD4:AD9" si="17">AB4-AC4</f>
        <v>0</v>
      </c>
      <c r="AE4" s="607">
        <f t="shared" ref="AE4:AE10" si="18">AD4*C4/100</f>
        <v>0</v>
      </c>
      <c r="AF4" s="608">
        <f t="shared" ref="AF4:AF9" si="19">AD4-AE4</f>
        <v>0</v>
      </c>
      <c r="AG4" s="607">
        <f>AF4*C4/100</f>
        <v>0</v>
      </c>
      <c r="AH4" s="608">
        <f t="shared" ref="AH4:AH9" si="20">AF4-AG4</f>
        <v>0</v>
      </c>
      <c r="AI4" s="607">
        <f>AH4*C4/100</f>
        <v>0</v>
      </c>
      <c r="AJ4" s="608">
        <f t="shared" ref="AJ4:AJ9" si="21">AH4-AI4</f>
        <v>0</v>
      </c>
      <c r="AK4" s="607">
        <f>AJ4*C4/100</f>
        <v>0</v>
      </c>
      <c r="AL4" s="608">
        <f t="shared" ref="AL4:AL9" si="22">AJ4-AK4</f>
        <v>0</v>
      </c>
      <c r="AM4" s="607">
        <f>AL4*C4/100</f>
        <v>0</v>
      </c>
      <c r="AN4" s="608">
        <f t="shared" ref="AN4:AN9" si="23">AL4-AM4</f>
        <v>0</v>
      </c>
      <c r="AO4" s="607">
        <f>AN4*C4/100</f>
        <v>0</v>
      </c>
      <c r="AP4" s="608">
        <f t="shared" ref="AP4:AP9" si="24">AN4-AO4</f>
        <v>0</v>
      </c>
      <c r="AQ4" s="607">
        <f>AP4*C4/100</f>
        <v>0</v>
      </c>
      <c r="AR4" s="608">
        <f t="shared" ref="AR4:AR9" si="25">AP4-AQ4</f>
        <v>0</v>
      </c>
      <c r="AS4" s="607">
        <f>AR4*C4/100</f>
        <v>0</v>
      </c>
      <c r="AT4" s="608">
        <f t="shared" ref="AT4:AT9" si="26">AR4-AS4</f>
        <v>0</v>
      </c>
      <c r="AU4" s="607">
        <f>AT4*C4/100</f>
        <v>0</v>
      </c>
      <c r="AV4" s="608">
        <f t="shared" ref="AV4:AV9" si="27">AT4-AU4</f>
        <v>0</v>
      </c>
      <c r="AW4" s="607">
        <f>AV4*C4/100</f>
        <v>0</v>
      </c>
      <c r="AX4" s="608">
        <f t="shared" ref="AX4:AX9" si="28">AV4-AW4</f>
        <v>0</v>
      </c>
      <c r="AY4" s="605"/>
    </row>
    <row r="5" spans="1:51" s="116" customFormat="1" x14ac:dyDescent="0.2">
      <c r="A5" s="600">
        <v>2</v>
      </c>
      <c r="B5" s="595"/>
      <c r="C5" s="207">
        <v>0</v>
      </c>
      <c r="D5" s="207">
        <v>0</v>
      </c>
      <c r="E5" s="207">
        <v>0</v>
      </c>
      <c r="F5" s="207">
        <v>0</v>
      </c>
      <c r="G5" s="607">
        <f t="shared" si="0"/>
        <v>0</v>
      </c>
      <c r="H5" s="607">
        <f t="shared" si="1"/>
        <v>0</v>
      </c>
      <c r="I5" s="607">
        <f t="shared" ref="I5:I10" si="29">D5+G5-H5</f>
        <v>0</v>
      </c>
      <c r="J5" s="207">
        <v>0</v>
      </c>
      <c r="K5" s="207">
        <v>0</v>
      </c>
      <c r="L5" s="607">
        <f t="shared" si="2"/>
        <v>0</v>
      </c>
      <c r="M5" s="607">
        <f t="shared" ref="M5:M10" si="30">(I5+J5)*C5/100+K5*H5/100/2</f>
        <v>0</v>
      </c>
      <c r="N5" s="607">
        <f t="shared" ref="N5:N10" si="31">I5+L5-M5</f>
        <v>0</v>
      </c>
      <c r="O5" s="607">
        <f t="shared" ref="O5:O10" si="32">N5*C5/100</f>
        <v>0</v>
      </c>
      <c r="P5" s="607">
        <f t="shared" si="3"/>
        <v>0</v>
      </c>
      <c r="Q5" s="607">
        <f t="shared" si="4"/>
        <v>0</v>
      </c>
      <c r="R5" s="607">
        <f t="shared" si="5"/>
        <v>0</v>
      </c>
      <c r="S5" s="607">
        <f t="shared" si="6"/>
        <v>0</v>
      </c>
      <c r="T5" s="607">
        <f t="shared" si="7"/>
        <v>0</v>
      </c>
      <c r="U5" s="607">
        <f t="shared" si="8"/>
        <v>0</v>
      </c>
      <c r="V5" s="607">
        <f t="shared" si="9"/>
        <v>0</v>
      </c>
      <c r="W5" s="607">
        <f t="shared" si="10"/>
        <v>0</v>
      </c>
      <c r="X5" s="607">
        <f t="shared" si="11"/>
        <v>0</v>
      </c>
      <c r="Y5" s="607">
        <f t="shared" si="12"/>
        <v>0</v>
      </c>
      <c r="Z5" s="607">
        <f t="shared" si="13"/>
        <v>0</v>
      </c>
      <c r="AA5" s="607">
        <f t="shared" si="14"/>
        <v>0</v>
      </c>
      <c r="AB5" s="607">
        <f t="shared" si="15"/>
        <v>0</v>
      </c>
      <c r="AC5" s="607">
        <f t="shared" si="16"/>
        <v>0</v>
      </c>
      <c r="AD5" s="607">
        <f t="shared" si="17"/>
        <v>0</v>
      </c>
      <c r="AE5" s="607">
        <f t="shared" si="18"/>
        <v>0</v>
      </c>
      <c r="AF5" s="608">
        <f t="shared" si="19"/>
        <v>0</v>
      </c>
      <c r="AG5" s="607">
        <f t="shared" ref="AG5:AG18" si="33">AF5*C5/100</f>
        <v>0</v>
      </c>
      <c r="AH5" s="608">
        <f t="shared" si="20"/>
        <v>0</v>
      </c>
      <c r="AI5" s="607">
        <f t="shared" ref="AI5:AI18" si="34">AH5*C5/100</f>
        <v>0</v>
      </c>
      <c r="AJ5" s="608">
        <f t="shared" si="21"/>
        <v>0</v>
      </c>
      <c r="AK5" s="607">
        <f t="shared" ref="AK5:AK18" si="35">AJ5*C5/100</f>
        <v>0</v>
      </c>
      <c r="AL5" s="608">
        <f t="shared" si="22"/>
        <v>0</v>
      </c>
      <c r="AM5" s="607">
        <f t="shared" ref="AM5:AM18" si="36">AL5*C5/100</f>
        <v>0</v>
      </c>
      <c r="AN5" s="608">
        <f t="shared" si="23"/>
        <v>0</v>
      </c>
      <c r="AO5" s="607">
        <f t="shared" ref="AO5:AO18" si="37">AN5*C5/100</f>
        <v>0</v>
      </c>
      <c r="AP5" s="608">
        <f t="shared" si="24"/>
        <v>0</v>
      </c>
      <c r="AQ5" s="607">
        <f t="shared" ref="AQ5:AQ18" si="38">AP5*C5/100</f>
        <v>0</v>
      </c>
      <c r="AR5" s="608">
        <f t="shared" si="25"/>
        <v>0</v>
      </c>
      <c r="AS5" s="607">
        <f t="shared" ref="AS5:AS18" si="39">AR5*C5/100</f>
        <v>0</v>
      </c>
      <c r="AT5" s="608">
        <f t="shared" si="26"/>
        <v>0</v>
      </c>
      <c r="AU5" s="607">
        <f t="shared" ref="AU5:AU18" si="40">AT5*C5/100</f>
        <v>0</v>
      </c>
      <c r="AV5" s="608">
        <f t="shared" si="27"/>
        <v>0</v>
      </c>
      <c r="AW5" s="607">
        <f t="shared" ref="AW5:AW18" si="41">AV5*C5/100</f>
        <v>0</v>
      </c>
      <c r="AX5" s="608">
        <f t="shared" si="28"/>
        <v>0</v>
      </c>
      <c r="AY5" s="605"/>
    </row>
    <row r="6" spans="1:51" s="116" customFormat="1" x14ac:dyDescent="0.2">
      <c r="A6" s="600">
        <v>3</v>
      </c>
      <c r="B6" s="595"/>
      <c r="C6" s="207">
        <v>0</v>
      </c>
      <c r="D6" s="207">
        <v>0</v>
      </c>
      <c r="E6" s="207">
        <v>0</v>
      </c>
      <c r="F6" s="207">
        <v>0</v>
      </c>
      <c r="G6" s="607">
        <f t="shared" si="0"/>
        <v>0</v>
      </c>
      <c r="H6" s="607">
        <f t="shared" si="1"/>
        <v>0</v>
      </c>
      <c r="I6" s="607">
        <f t="shared" si="29"/>
        <v>0</v>
      </c>
      <c r="J6" s="207">
        <v>0</v>
      </c>
      <c r="K6" s="207">
        <v>0</v>
      </c>
      <c r="L6" s="607">
        <f t="shared" si="2"/>
        <v>0</v>
      </c>
      <c r="M6" s="607">
        <f t="shared" si="30"/>
        <v>0</v>
      </c>
      <c r="N6" s="607">
        <f t="shared" si="31"/>
        <v>0</v>
      </c>
      <c r="O6" s="607">
        <f t="shared" si="32"/>
        <v>0</v>
      </c>
      <c r="P6" s="607">
        <f t="shared" si="3"/>
        <v>0</v>
      </c>
      <c r="Q6" s="607">
        <f t="shared" si="4"/>
        <v>0</v>
      </c>
      <c r="R6" s="607">
        <f t="shared" si="5"/>
        <v>0</v>
      </c>
      <c r="S6" s="607">
        <f t="shared" si="6"/>
        <v>0</v>
      </c>
      <c r="T6" s="607">
        <f t="shared" si="7"/>
        <v>0</v>
      </c>
      <c r="U6" s="607">
        <f t="shared" si="8"/>
        <v>0</v>
      </c>
      <c r="V6" s="607">
        <f t="shared" si="9"/>
        <v>0</v>
      </c>
      <c r="W6" s="607">
        <f t="shared" si="10"/>
        <v>0</v>
      </c>
      <c r="X6" s="607">
        <f t="shared" si="11"/>
        <v>0</v>
      </c>
      <c r="Y6" s="607">
        <f t="shared" si="12"/>
        <v>0</v>
      </c>
      <c r="Z6" s="607">
        <f t="shared" si="13"/>
        <v>0</v>
      </c>
      <c r="AA6" s="607">
        <f t="shared" si="14"/>
        <v>0</v>
      </c>
      <c r="AB6" s="607">
        <f t="shared" si="15"/>
        <v>0</v>
      </c>
      <c r="AC6" s="607">
        <f t="shared" si="16"/>
        <v>0</v>
      </c>
      <c r="AD6" s="607">
        <f t="shared" si="17"/>
        <v>0</v>
      </c>
      <c r="AE6" s="607">
        <f t="shared" si="18"/>
        <v>0</v>
      </c>
      <c r="AF6" s="608">
        <f t="shared" si="19"/>
        <v>0</v>
      </c>
      <c r="AG6" s="607">
        <f t="shared" si="33"/>
        <v>0</v>
      </c>
      <c r="AH6" s="608">
        <f t="shared" si="20"/>
        <v>0</v>
      </c>
      <c r="AI6" s="607">
        <f t="shared" si="34"/>
        <v>0</v>
      </c>
      <c r="AJ6" s="608">
        <f t="shared" si="21"/>
        <v>0</v>
      </c>
      <c r="AK6" s="607">
        <f t="shared" si="35"/>
        <v>0</v>
      </c>
      <c r="AL6" s="608">
        <f t="shared" si="22"/>
        <v>0</v>
      </c>
      <c r="AM6" s="607">
        <f t="shared" si="36"/>
        <v>0</v>
      </c>
      <c r="AN6" s="608">
        <f t="shared" si="23"/>
        <v>0</v>
      </c>
      <c r="AO6" s="607">
        <f t="shared" si="37"/>
        <v>0</v>
      </c>
      <c r="AP6" s="608">
        <f t="shared" si="24"/>
        <v>0</v>
      </c>
      <c r="AQ6" s="607">
        <f t="shared" si="38"/>
        <v>0</v>
      </c>
      <c r="AR6" s="608">
        <f t="shared" si="25"/>
        <v>0</v>
      </c>
      <c r="AS6" s="607">
        <f t="shared" si="39"/>
        <v>0</v>
      </c>
      <c r="AT6" s="608">
        <f t="shared" si="26"/>
        <v>0</v>
      </c>
      <c r="AU6" s="607">
        <f t="shared" si="40"/>
        <v>0</v>
      </c>
      <c r="AV6" s="608">
        <f t="shared" si="27"/>
        <v>0</v>
      </c>
      <c r="AW6" s="607">
        <f t="shared" si="41"/>
        <v>0</v>
      </c>
      <c r="AX6" s="608">
        <f t="shared" si="28"/>
        <v>0</v>
      </c>
      <c r="AY6" s="605"/>
    </row>
    <row r="7" spans="1:51" s="116" customFormat="1" ht="14.25" customHeight="1" x14ac:dyDescent="0.2">
      <c r="A7" s="600">
        <v>4</v>
      </c>
      <c r="B7" s="595"/>
      <c r="C7" s="207">
        <v>0</v>
      </c>
      <c r="D7" s="207">
        <v>0</v>
      </c>
      <c r="E7" s="207">
        <v>0</v>
      </c>
      <c r="F7" s="207">
        <v>0</v>
      </c>
      <c r="G7" s="607">
        <f t="shared" si="0"/>
        <v>0</v>
      </c>
      <c r="H7" s="607">
        <f t="shared" si="1"/>
        <v>0</v>
      </c>
      <c r="I7" s="607">
        <f t="shared" si="29"/>
        <v>0</v>
      </c>
      <c r="J7" s="207">
        <v>0</v>
      </c>
      <c r="K7" s="207">
        <v>0</v>
      </c>
      <c r="L7" s="607">
        <f t="shared" si="2"/>
        <v>0</v>
      </c>
      <c r="M7" s="607">
        <f t="shared" si="30"/>
        <v>0</v>
      </c>
      <c r="N7" s="607">
        <f t="shared" si="31"/>
        <v>0</v>
      </c>
      <c r="O7" s="607">
        <f t="shared" si="32"/>
        <v>0</v>
      </c>
      <c r="P7" s="607">
        <f t="shared" si="3"/>
        <v>0</v>
      </c>
      <c r="Q7" s="607">
        <f t="shared" si="4"/>
        <v>0</v>
      </c>
      <c r="R7" s="607">
        <f t="shared" si="5"/>
        <v>0</v>
      </c>
      <c r="S7" s="607">
        <f t="shared" si="6"/>
        <v>0</v>
      </c>
      <c r="T7" s="607">
        <f t="shared" si="7"/>
        <v>0</v>
      </c>
      <c r="U7" s="607">
        <f t="shared" si="8"/>
        <v>0</v>
      </c>
      <c r="V7" s="607">
        <f t="shared" si="9"/>
        <v>0</v>
      </c>
      <c r="W7" s="607">
        <f t="shared" si="10"/>
        <v>0</v>
      </c>
      <c r="X7" s="607">
        <f t="shared" si="11"/>
        <v>0</v>
      </c>
      <c r="Y7" s="607">
        <f t="shared" si="12"/>
        <v>0</v>
      </c>
      <c r="Z7" s="607">
        <f t="shared" si="13"/>
        <v>0</v>
      </c>
      <c r="AA7" s="607">
        <f t="shared" si="14"/>
        <v>0</v>
      </c>
      <c r="AB7" s="607">
        <f t="shared" si="15"/>
        <v>0</v>
      </c>
      <c r="AC7" s="607">
        <f t="shared" si="16"/>
        <v>0</v>
      </c>
      <c r="AD7" s="607">
        <f t="shared" si="17"/>
        <v>0</v>
      </c>
      <c r="AE7" s="607">
        <f t="shared" si="18"/>
        <v>0</v>
      </c>
      <c r="AF7" s="608">
        <f t="shared" si="19"/>
        <v>0</v>
      </c>
      <c r="AG7" s="607">
        <f t="shared" si="33"/>
        <v>0</v>
      </c>
      <c r="AH7" s="608">
        <f t="shared" si="20"/>
        <v>0</v>
      </c>
      <c r="AI7" s="607">
        <f t="shared" si="34"/>
        <v>0</v>
      </c>
      <c r="AJ7" s="608">
        <f t="shared" si="21"/>
        <v>0</v>
      </c>
      <c r="AK7" s="607">
        <f t="shared" si="35"/>
        <v>0</v>
      </c>
      <c r="AL7" s="608">
        <f t="shared" si="22"/>
        <v>0</v>
      </c>
      <c r="AM7" s="607">
        <f t="shared" si="36"/>
        <v>0</v>
      </c>
      <c r="AN7" s="608">
        <f t="shared" si="23"/>
        <v>0</v>
      </c>
      <c r="AO7" s="607">
        <f t="shared" si="37"/>
        <v>0</v>
      </c>
      <c r="AP7" s="608">
        <f t="shared" si="24"/>
        <v>0</v>
      </c>
      <c r="AQ7" s="607">
        <f t="shared" si="38"/>
        <v>0</v>
      </c>
      <c r="AR7" s="608">
        <f t="shared" si="25"/>
        <v>0</v>
      </c>
      <c r="AS7" s="607">
        <f t="shared" si="39"/>
        <v>0</v>
      </c>
      <c r="AT7" s="608">
        <f t="shared" si="26"/>
        <v>0</v>
      </c>
      <c r="AU7" s="607">
        <f t="shared" si="40"/>
        <v>0</v>
      </c>
      <c r="AV7" s="608">
        <f t="shared" si="27"/>
        <v>0</v>
      </c>
      <c r="AW7" s="607">
        <f t="shared" si="41"/>
        <v>0</v>
      </c>
      <c r="AX7" s="608">
        <f t="shared" si="28"/>
        <v>0</v>
      </c>
      <c r="AY7" s="605"/>
    </row>
    <row r="8" spans="1:51" s="116" customFormat="1" ht="13.5" customHeight="1" x14ac:dyDescent="0.2">
      <c r="A8" s="600">
        <v>5</v>
      </c>
      <c r="B8" s="595"/>
      <c r="C8" s="207">
        <v>0</v>
      </c>
      <c r="D8" s="207">
        <v>0</v>
      </c>
      <c r="E8" s="207">
        <v>0</v>
      </c>
      <c r="F8" s="207">
        <v>0</v>
      </c>
      <c r="G8" s="607">
        <f t="shared" si="0"/>
        <v>0</v>
      </c>
      <c r="H8" s="607">
        <f t="shared" si="1"/>
        <v>0</v>
      </c>
      <c r="I8" s="607">
        <f t="shared" si="29"/>
        <v>0</v>
      </c>
      <c r="J8" s="207">
        <v>0</v>
      </c>
      <c r="K8" s="207">
        <v>0</v>
      </c>
      <c r="L8" s="607">
        <f t="shared" si="2"/>
        <v>0</v>
      </c>
      <c r="M8" s="607">
        <f t="shared" si="30"/>
        <v>0</v>
      </c>
      <c r="N8" s="607">
        <f t="shared" si="31"/>
        <v>0</v>
      </c>
      <c r="O8" s="607">
        <f t="shared" si="32"/>
        <v>0</v>
      </c>
      <c r="P8" s="607">
        <f t="shared" si="3"/>
        <v>0</v>
      </c>
      <c r="Q8" s="607">
        <f t="shared" si="4"/>
        <v>0</v>
      </c>
      <c r="R8" s="607">
        <f t="shared" si="5"/>
        <v>0</v>
      </c>
      <c r="S8" s="607">
        <f t="shared" si="6"/>
        <v>0</v>
      </c>
      <c r="T8" s="607">
        <f t="shared" si="7"/>
        <v>0</v>
      </c>
      <c r="U8" s="607">
        <f t="shared" si="8"/>
        <v>0</v>
      </c>
      <c r="V8" s="607">
        <f t="shared" si="9"/>
        <v>0</v>
      </c>
      <c r="W8" s="607">
        <f t="shared" si="10"/>
        <v>0</v>
      </c>
      <c r="X8" s="607">
        <f t="shared" si="11"/>
        <v>0</v>
      </c>
      <c r="Y8" s="607">
        <f t="shared" si="12"/>
        <v>0</v>
      </c>
      <c r="Z8" s="607">
        <f t="shared" si="13"/>
        <v>0</v>
      </c>
      <c r="AA8" s="607">
        <f t="shared" si="14"/>
        <v>0</v>
      </c>
      <c r="AB8" s="607">
        <f t="shared" si="15"/>
        <v>0</v>
      </c>
      <c r="AC8" s="607">
        <f t="shared" si="16"/>
        <v>0</v>
      </c>
      <c r="AD8" s="607">
        <f t="shared" si="17"/>
        <v>0</v>
      </c>
      <c r="AE8" s="607">
        <f t="shared" si="18"/>
        <v>0</v>
      </c>
      <c r="AF8" s="608">
        <f t="shared" si="19"/>
        <v>0</v>
      </c>
      <c r="AG8" s="607">
        <f t="shared" si="33"/>
        <v>0</v>
      </c>
      <c r="AH8" s="608">
        <f t="shared" si="20"/>
        <v>0</v>
      </c>
      <c r="AI8" s="607">
        <f t="shared" si="34"/>
        <v>0</v>
      </c>
      <c r="AJ8" s="608">
        <f t="shared" si="21"/>
        <v>0</v>
      </c>
      <c r="AK8" s="607">
        <f t="shared" si="35"/>
        <v>0</v>
      </c>
      <c r="AL8" s="608">
        <f t="shared" si="22"/>
        <v>0</v>
      </c>
      <c r="AM8" s="607">
        <f t="shared" si="36"/>
        <v>0</v>
      </c>
      <c r="AN8" s="608">
        <f t="shared" si="23"/>
        <v>0</v>
      </c>
      <c r="AO8" s="607">
        <f t="shared" si="37"/>
        <v>0</v>
      </c>
      <c r="AP8" s="608">
        <f t="shared" si="24"/>
        <v>0</v>
      </c>
      <c r="AQ8" s="607">
        <f t="shared" si="38"/>
        <v>0</v>
      </c>
      <c r="AR8" s="608">
        <f t="shared" si="25"/>
        <v>0</v>
      </c>
      <c r="AS8" s="607">
        <f t="shared" si="39"/>
        <v>0</v>
      </c>
      <c r="AT8" s="608">
        <f t="shared" si="26"/>
        <v>0</v>
      </c>
      <c r="AU8" s="607">
        <f t="shared" si="40"/>
        <v>0</v>
      </c>
      <c r="AV8" s="608">
        <f t="shared" si="27"/>
        <v>0</v>
      </c>
      <c r="AW8" s="607">
        <f t="shared" si="41"/>
        <v>0</v>
      </c>
      <c r="AX8" s="608">
        <f t="shared" si="28"/>
        <v>0</v>
      </c>
      <c r="AY8" s="605"/>
    </row>
    <row r="9" spans="1:51" s="116" customFormat="1" x14ac:dyDescent="0.2">
      <c r="A9" s="600">
        <v>6</v>
      </c>
      <c r="B9" s="595"/>
      <c r="C9" s="207">
        <v>0</v>
      </c>
      <c r="D9" s="207">
        <v>0</v>
      </c>
      <c r="E9" s="207">
        <v>0</v>
      </c>
      <c r="F9" s="207">
        <v>0</v>
      </c>
      <c r="G9" s="607">
        <f t="shared" si="0"/>
        <v>0</v>
      </c>
      <c r="H9" s="607">
        <f t="shared" si="1"/>
        <v>0</v>
      </c>
      <c r="I9" s="607">
        <f t="shared" si="29"/>
        <v>0</v>
      </c>
      <c r="J9" s="207">
        <v>0</v>
      </c>
      <c r="K9" s="207">
        <v>0</v>
      </c>
      <c r="L9" s="607">
        <f t="shared" si="2"/>
        <v>0</v>
      </c>
      <c r="M9" s="607">
        <f t="shared" si="30"/>
        <v>0</v>
      </c>
      <c r="N9" s="607">
        <f t="shared" si="31"/>
        <v>0</v>
      </c>
      <c r="O9" s="607">
        <f t="shared" si="32"/>
        <v>0</v>
      </c>
      <c r="P9" s="607">
        <f t="shared" si="3"/>
        <v>0</v>
      </c>
      <c r="Q9" s="607">
        <f t="shared" si="4"/>
        <v>0</v>
      </c>
      <c r="R9" s="607">
        <f t="shared" si="5"/>
        <v>0</v>
      </c>
      <c r="S9" s="607">
        <f t="shared" si="6"/>
        <v>0</v>
      </c>
      <c r="T9" s="607">
        <f t="shared" si="7"/>
        <v>0</v>
      </c>
      <c r="U9" s="607">
        <f t="shared" si="8"/>
        <v>0</v>
      </c>
      <c r="V9" s="607">
        <f t="shared" si="9"/>
        <v>0</v>
      </c>
      <c r="W9" s="607">
        <f t="shared" si="10"/>
        <v>0</v>
      </c>
      <c r="X9" s="607">
        <f t="shared" si="11"/>
        <v>0</v>
      </c>
      <c r="Y9" s="607">
        <f t="shared" si="12"/>
        <v>0</v>
      </c>
      <c r="Z9" s="607">
        <f t="shared" si="13"/>
        <v>0</v>
      </c>
      <c r="AA9" s="607">
        <f t="shared" si="14"/>
        <v>0</v>
      </c>
      <c r="AB9" s="607">
        <f t="shared" si="15"/>
        <v>0</v>
      </c>
      <c r="AC9" s="607">
        <f t="shared" si="16"/>
        <v>0</v>
      </c>
      <c r="AD9" s="607">
        <f t="shared" si="17"/>
        <v>0</v>
      </c>
      <c r="AE9" s="607">
        <f t="shared" si="18"/>
        <v>0</v>
      </c>
      <c r="AF9" s="608">
        <f t="shared" si="19"/>
        <v>0</v>
      </c>
      <c r="AG9" s="607">
        <f t="shared" si="33"/>
        <v>0</v>
      </c>
      <c r="AH9" s="608">
        <f t="shared" si="20"/>
        <v>0</v>
      </c>
      <c r="AI9" s="607">
        <f t="shared" si="34"/>
        <v>0</v>
      </c>
      <c r="AJ9" s="608">
        <f t="shared" si="21"/>
        <v>0</v>
      </c>
      <c r="AK9" s="607">
        <f t="shared" si="35"/>
        <v>0</v>
      </c>
      <c r="AL9" s="608">
        <f t="shared" si="22"/>
        <v>0</v>
      </c>
      <c r="AM9" s="607">
        <f t="shared" si="36"/>
        <v>0</v>
      </c>
      <c r="AN9" s="608">
        <f t="shared" si="23"/>
        <v>0</v>
      </c>
      <c r="AO9" s="607">
        <f t="shared" si="37"/>
        <v>0</v>
      </c>
      <c r="AP9" s="608">
        <f t="shared" si="24"/>
        <v>0</v>
      </c>
      <c r="AQ9" s="607">
        <f t="shared" si="38"/>
        <v>0</v>
      </c>
      <c r="AR9" s="608">
        <f t="shared" si="25"/>
        <v>0</v>
      </c>
      <c r="AS9" s="607">
        <f t="shared" si="39"/>
        <v>0</v>
      </c>
      <c r="AT9" s="608">
        <f t="shared" si="26"/>
        <v>0</v>
      </c>
      <c r="AU9" s="607">
        <f t="shared" si="40"/>
        <v>0</v>
      </c>
      <c r="AV9" s="608">
        <f t="shared" si="27"/>
        <v>0</v>
      </c>
      <c r="AW9" s="607">
        <f t="shared" si="41"/>
        <v>0</v>
      </c>
      <c r="AX9" s="608">
        <f t="shared" si="28"/>
        <v>0</v>
      </c>
      <c r="AY9" s="605"/>
    </row>
    <row r="10" spans="1:51" s="116" customFormat="1" ht="13.5" customHeight="1" x14ac:dyDescent="0.2">
      <c r="A10" s="600">
        <v>7</v>
      </c>
      <c r="B10" s="595"/>
      <c r="C10" s="207">
        <v>0</v>
      </c>
      <c r="D10" s="207">
        <v>0</v>
      </c>
      <c r="E10" s="207">
        <v>0</v>
      </c>
      <c r="F10" s="207">
        <v>0</v>
      </c>
      <c r="G10" s="607">
        <f t="shared" si="0"/>
        <v>0</v>
      </c>
      <c r="H10" s="607">
        <f t="shared" si="1"/>
        <v>0</v>
      </c>
      <c r="I10" s="607">
        <f t="shared" si="29"/>
        <v>0</v>
      </c>
      <c r="J10" s="207">
        <v>0</v>
      </c>
      <c r="K10" s="207">
        <v>0</v>
      </c>
      <c r="L10" s="607">
        <f t="shared" si="2"/>
        <v>0</v>
      </c>
      <c r="M10" s="607">
        <f t="shared" si="30"/>
        <v>0</v>
      </c>
      <c r="N10" s="607">
        <f t="shared" si="31"/>
        <v>0</v>
      </c>
      <c r="O10" s="607">
        <f t="shared" si="32"/>
        <v>0</v>
      </c>
      <c r="P10" s="607">
        <f t="shared" si="3"/>
        <v>0</v>
      </c>
      <c r="Q10" s="607">
        <f t="shared" si="4"/>
        <v>0</v>
      </c>
      <c r="R10" s="607">
        <f t="shared" si="5"/>
        <v>0</v>
      </c>
      <c r="S10" s="607">
        <f t="shared" si="6"/>
        <v>0</v>
      </c>
      <c r="T10" s="607">
        <f t="shared" si="7"/>
        <v>0</v>
      </c>
      <c r="U10" s="607">
        <f t="shared" si="8"/>
        <v>0</v>
      </c>
      <c r="V10" s="607">
        <f t="shared" si="9"/>
        <v>0</v>
      </c>
      <c r="W10" s="607">
        <f t="shared" si="10"/>
        <v>0</v>
      </c>
      <c r="X10" s="607">
        <f t="shared" si="11"/>
        <v>0</v>
      </c>
      <c r="Y10" s="607">
        <f t="shared" si="12"/>
        <v>0</v>
      </c>
      <c r="Z10" s="607">
        <f t="shared" si="13"/>
        <v>0</v>
      </c>
      <c r="AA10" s="607">
        <f t="shared" si="14"/>
        <v>0</v>
      </c>
      <c r="AB10" s="607">
        <f t="shared" si="15"/>
        <v>0</v>
      </c>
      <c r="AC10" s="607">
        <f t="shared" si="16"/>
        <v>0</v>
      </c>
      <c r="AD10" s="607">
        <f>AB10-AC10</f>
        <v>0</v>
      </c>
      <c r="AE10" s="607">
        <f t="shared" si="18"/>
        <v>0</v>
      </c>
      <c r="AF10" s="608">
        <f>AD10-AE10</f>
        <v>0</v>
      </c>
      <c r="AG10" s="607">
        <f t="shared" si="33"/>
        <v>0</v>
      </c>
      <c r="AH10" s="608">
        <f>AF10-AG10</f>
        <v>0</v>
      </c>
      <c r="AI10" s="607">
        <f t="shared" si="34"/>
        <v>0</v>
      </c>
      <c r="AJ10" s="608">
        <f>AH10-AI10</f>
        <v>0</v>
      </c>
      <c r="AK10" s="607">
        <f t="shared" si="35"/>
        <v>0</v>
      </c>
      <c r="AL10" s="608">
        <f>AJ10-AK10</f>
        <v>0</v>
      </c>
      <c r="AM10" s="607">
        <f t="shared" si="36"/>
        <v>0</v>
      </c>
      <c r="AN10" s="608">
        <f>AL10-AM10</f>
        <v>0</v>
      </c>
      <c r="AO10" s="607">
        <f t="shared" si="37"/>
        <v>0</v>
      </c>
      <c r="AP10" s="608">
        <f>AN10-AO10</f>
        <v>0</v>
      </c>
      <c r="AQ10" s="607">
        <f t="shared" si="38"/>
        <v>0</v>
      </c>
      <c r="AR10" s="608">
        <f>AP10-AQ10</f>
        <v>0</v>
      </c>
      <c r="AS10" s="607">
        <f t="shared" si="39"/>
        <v>0</v>
      </c>
      <c r="AT10" s="608">
        <f>AR10-AS10</f>
        <v>0</v>
      </c>
      <c r="AU10" s="607">
        <f t="shared" si="40"/>
        <v>0</v>
      </c>
      <c r="AV10" s="608">
        <f>AT10-AU10</f>
        <v>0</v>
      </c>
      <c r="AW10" s="607">
        <f t="shared" si="41"/>
        <v>0</v>
      </c>
      <c r="AX10" s="608">
        <f>AV10-AW10</f>
        <v>0</v>
      </c>
      <c r="AY10" s="605"/>
    </row>
    <row r="11" spans="1:51" s="116" customFormat="1" ht="13.5" customHeight="1" x14ac:dyDescent="0.2">
      <c r="A11" s="600">
        <v>8</v>
      </c>
      <c r="B11" s="595"/>
      <c r="C11" s="207">
        <v>0</v>
      </c>
      <c r="D11" s="207">
        <v>0</v>
      </c>
      <c r="E11" s="207">
        <v>0</v>
      </c>
      <c r="F11" s="207">
        <v>0</v>
      </c>
      <c r="G11" s="607">
        <f t="shared" ref="G11:G18" si="42">SUM(E11:F11)</f>
        <v>0</v>
      </c>
      <c r="H11" s="607">
        <f t="shared" ref="H11:H18" si="43">(D11+E11)*C11/100+F11*C11/100/2</f>
        <v>0</v>
      </c>
      <c r="I11" s="607">
        <f t="shared" ref="I11:I17" si="44">D11+G11-H11</f>
        <v>0</v>
      </c>
      <c r="J11" s="207">
        <v>0</v>
      </c>
      <c r="K11" s="207">
        <v>0</v>
      </c>
      <c r="L11" s="607">
        <f t="shared" ref="L11:L17" si="45">SUM(J11:K11)</f>
        <v>0</v>
      </c>
      <c r="M11" s="607">
        <f t="shared" ref="M11:M17" si="46">(I11+J11)*C11/100+K11*H11/100/2</f>
        <v>0</v>
      </c>
      <c r="N11" s="607">
        <f t="shared" ref="N11:N18" si="47">I11+L11-M11</f>
        <v>0</v>
      </c>
      <c r="O11" s="607">
        <f t="shared" ref="O11:O17" si="48">N11*C11/100</f>
        <v>0</v>
      </c>
      <c r="P11" s="607">
        <f t="shared" ref="P11:P17" si="49">N11-O11</f>
        <v>0</v>
      </c>
      <c r="Q11" s="607">
        <f t="shared" ref="Q11:Q17" si="50">P11*C11/100</f>
        <v>0</v>
      </c>
      <c r="R11" s="607">
        <f t="shared" ref="R11:R17" si="51">P11-Q11</f>
        <v>0</v>
      </c>
      <c r="S11" s="607">
        <f t="shared" ref="S11:S17" si="52">R11*C11/100</f>
        <v>0</v>
      </c>
      <c r="T11" s="607">
        <f t="shared" ref="T11:T17" si="53">R11-S11</f>
        <v>0</v>
      </c>
      <c r="U11" s="607">
        <f t="shared" ref="U11:U17" si="54">T11*C11/100</f>
        <v>0</v>
      </c>
      <c r="V11" s="607">
        <f t="shared" ref="V11:V17" si="55">T11-U11</f>
        <v>0</v>
      </c>
      <c r="W11" s="607">
        <f t="shared" ref="W11:W17" si="56">V11*C11/100</f>
        <v>0</v>
      </c>
      <c r="X11" s="607">
        <f t="shared" ref="X11:X17" si="57">V11-W11</f>
        <v>0</v>
      </c>
      <c r="Y11" s="607">
        <f t="shared" ref="Y11:Y17" si="58">X11*C11/100</f>
        <v>0</v>
      </c>
      <c r="Z11" s="607">
        <f t="shared" ref="Z11:Z17" si="59">X11-Y11</f>
        <v>0</v>
      </c>
      <c r="AA11" s="607">
        <f t="shared" ref="AA11:AA17" si="60">Z11*C11/100</f>
        <v>0</v>
      </c>
      <c r="AB11" s="607">
        <f t="shared" ref="AB11:AB17" si="61">Z11-AA11</f>
        <v>0</v>
      </c>
      <c r="AC11" s="607">
        <f t="shared" ref="AC11:AC17" si="62">AB11*C11/100</f>
        <v>0</v>
      </c>
      <c r="AD11" s="607">
        <f t="shared" ref="AD11:AD17" si="63">AB11-AC11</f>
        <v>0</v>
      </c>
      <c r="AE11" s="607">
        <f t="shared" ref="AE11:AE17" si="64">AD11*C11/100</f>
        <v>0</v>
      </c>
      <c r="AF11" s="608">
        <f t="shared" ref="AF11:AF17" si="65">AD11-AE11</f>
        <v>0</v>
      </c>
      <c r="AG11" s="607">
        <f t="shared" si="33"/>
        <v>0</v>
      </c>
      <c r="AH11" s="608">
        <f t="shared" ref="AH11:AH17" si="66">AF11-AG11</f>
        <v>0</v>
      </c>
      <c r="AI11" s="607">
        <f t="shared" si="34"/>
        <v>0</v>
      </c>
      <c r="AJ11" s="608">
        <f t="shared" ref="AJ11:AJ17" si="67">AH11-AI11</f>
        <v>0</v>
      </c>
      <c r="AK11" s="607">
        <f t="shared" si="35"/>
        <v>0</v>
      </c>
      <c r="AL11" s="608">
        <f t="shared" ref="AL11:AL17" si="68">AJ11-AK11</f>
        <v>0</v>
      </c>
      <c r="AM11" s="607">
        <f t="shared" si="36"/>
        <v>0</v>
      </c>
      <c r="AN11" s="608">
        <f t="shared" ref="AN11:AN17" si="69">AL11-AM11</f>
        <v>0</v>
      </c>
      <c r="AO11" s="607">
        <f t="shared" si="37"/>
        <v>0</v>
      </c>
      <c r="AP11" s="608">
        <f t="shared" ref="AP11:AP17" si="70">AN11-AO11</f>
        <v>0</v>
      </c>
      <c r="AQ11" s="607">
        <f t="shared" si="38"/>
        <v>0</v>
      </c>
      <c r="AR11" s="608">
        <f t="shared" ref="AR11:AR17" si="71">AP11-AQ11</f>
        <v>0</v>
      </c>
      <c r="AS11" s="607">
        <f t="shared" si="39"/>
        <v>0</v>
      </c>
      <c r="AT11" s="608">
        <f t="shared" ref="AT11:AT17" si="72">AR11-AS11</f>
        <v>0</v>
      </c>
      <c r="AU11" s="607">
        <f t="shared" si="40"/>
        <v>0</v>
      </c>
      <c r="AV11" s="608">
        <f t="shared" ref="AV11:AV17" si="73">AT11-AU11</f>
        <v>0</v>
      </c>
      <c r="AW11" s="607">
        <f t="shared" si="41"/>
        <v>0</v>
      </c>
      <c r="AX11" s="608">
        <f t="shared" ref="AX11:AX17" si="74">AV11-AW11</f>
        <v>0</v>
      </c>
      <c r="AY11" s="605"/>
    </row>
    <row r="12" spans="1:51" s="116" customFormat="1" ht="13.5" customHeight="1" x14ac:dyDescent="0.2">
      <c r="A12" s="600">
        <v>9</v>
      </c>
      <c r="B12" s="595"/>
      <c r="C12" s="207">
        <v>0</v>
      </c>
      <c r="D12" s="207">
        <v>0</v>
      </c>
      <c r="E12" s="207">
        <v>0</v>
      </c>
      <c r="F12" s="207">
        <v>0</v>
      </c>
      <c r="G12" s="607">
        <f t="shared" si="42"/>
        <v>0</v>
      </c>
      <c r="H12" s="607">
        <f t="shared" si="43"/>
        <v>0</v>
      </c>
      <c r="I12" s="607">
        <f t="shared" si="44"/>
        <v>0</v>
      </c>
      <c r="J12" s="207">
        <v>0</v>
      </c>
      <c r="K12" s="207">
        <v>0</v>
      </c>
      <c r="L12" s="607">
        <f t="shared" si="45"/>
        <v>0</v>
      </c>
      <c r="M12" s="607">
        <f t="shared" si="46"/>
        <v>0</v>
      </c>
      <c r="N12" s="607">
        <f t="shared" si="47"/>
        <v>0</v>
      </c>
      <c r="O12" s="607">
        <f t="shared" si="48"/>
        <v>0</v>
      </c>
      <c r="P12" s="607">
        <f t="shared" si="49"/>
        <v>0</v>
      </c>
      <c r="Q12" s="607">
        <f t="shared" si="50"/>
        <v>0</v>
      </c>
      <c r="R12" s="607">
        <f t="shared" si="51"/>
        <v>0</v>
      </c>
      <c r="S12" s="607">
        <f t="shared" si="52"/>
        <v>0</v>
      </c>
      <c r="T12" s="607">
        <f t="shared" si="53"/>
        <v>0</v>
      </c>
      <c r="U12" s="607">
        <f t="shared" si="54"/>
        <v>0</v>
      </c>
      <c r="V12" s="607">
        <f t="shared" si="55"/>
        <v>0</v>
      </c>
      <c r="W12" s="607">
        <f t="shared" si="56"/>
        <v>0</v>
      </c>
      <c r="X12" s="607">
        <f t="shared" si="57"/>
        <v>0</v>
      </c>
      <c r="Y12" s="607">
        <f t="shared" si="58"/>
        <v>0</v>
      </c>
      <c r="Z12" s="607">
        <f t="shared" si="59"/>
        <v>0</v>
      </c>
      <c r="AA12" s="607">
        <f t="shared" si="60"/>
        <v>0</v>
      </c>
      <c r="AB12" s="607">
        <f t="shared" si="61"/>
        <v>0</v>
      </c>
      <c r="AC12" s="607">
        <f t="shared" si="62"/>
        <v>0</v>
      </c>
      <c r="AD12" s="607">
        <f t="shared" si="63"/>
        <v>0</v>
      </c>
      <c r="AE12" s="607">
        <f t="shared" si="64"/>
        <v>0</v>
      </c>
      <c r="AF12" s="608">
        <f t="shared" si="65"/>
        <v>0</v>
      </c>
      <c r="AG12" s="607">
        <f t="shared" si="33"/>
        <v>0</v>
      </c>
      <c r="AH12" s="608">
        <f t="shared" si="66"/>
        <v>0</v>
      </c>
      <c r="AI12" s="607">
        <f t="shared" si="34"/>
        <v>0</v>
      </c>
      <c r="AJ12" s="608">
        <f t="shared" si="67"/>
        <v>0</v>
      </c>
      <c r="AK12" s="607">
        <f t="shared" si="35"/>
        <v>0</v>
      </c>
      <c r="AL12" s="608">
        <f t="shared" si="68"/>
        <v>0</v>
      </c>
      <c r="AM12" s="607">
        <f t="shared" si="36"/>
        <v>0</v>
      </c>
      <c r="AN12" s="608">
        <f t="shared" si="69"/>
        <v>0</v>
      </c>
      <c r="AO12" s="607">
        <f t="shared" si="37"/>
        <v>0</v>
      </c>
      <c r="AP12" s="608">
        <f t="shared" si="70"/>
        <v>0</v>
      </c>
      <c r="AQ12" s="607">
        <f t="shared" si="38"/>
        <v>0</v>
      </c>
      <c r="AR12" s="608">
        <f t="shared" si="71"/>
        <v>0</v>
      </c>
      <c r="AS12" s="607">
        <f t="shared" si="39"/>
        <v>0</v>
      </c>
      <c r="AT12" s="608">
        <f t="shared" si="72"/>
        <v>0</v>
      </c>
      <c r="AU12" s="607">
        <f t="shared" si="40"/>
        <v>0</v>
      </c>
      <c r="AV12" s="608">
        <f t="shared" si="73"/>
        <v>0</v>
      </c>
      <c r="AW12" s="607">
        <f t="shared" si="41"/>
        <v>0</v>
      </c>
      <c r="AX12" s="608">
        <f t="shared" si="74"/>
        <v>0</v>
      </c>
      <c r="AY12" s="605"/>
    </row>
    <row r="13" spans="1:51" s="116" customFormat="1" ht="13.5" customHeight="1" x14ac:dyDescent="0.2">
      <c r="A13" s="600">
        <v>10</v>
      </c>
      <c r="B13" s="595"/>
      <c r="C13" s="207">
        <v>0</v>
      </c>
      <c r="D13" s="207">
        <v>0</v>
      </c>
      <c r="E13" s="207">
        <v>0</v>
      </c>
      <c r="F13" s="207">
        <v>0</v>
      </c>
      <c r="G13" s="607">
        <f t="shared" si="42"/>
        <v>0</v>
      </c>
      <c r="H13" s="607">
        <f t="shared" si="43"/>
        <v>0</v>
      </c>
      <c r="I13" s="607">
        <f t="shared" si="44"/>
        <v>0</v>
      </c>
      <c r="J13" s="207">
        <v>0</v>
      </c>
      <c r="K13" s="207">
        <v>0</v>
      </c>
      <c r="L13" s="607">
        <f t="shared" si="45"/>
        <v>0</v>
      </c>
      <c r="M13" s="607">
        <f t="shared" si="46"/>
        <v>0</v>
      </c>
      <c r="N13" s="607">
        <f t="shared" si="47"/>
        <v>0</v>
      </c>
      <c r="O13" s="607">
        <f t="shared" si="48"/>
        <v>0</v>
      </c>
      <c r="P13" s="607">
        <f t="shared" si="49"/>
        <v>0</v>
      </c>
      <c r="Q13" s="607">
        <f t="shared" si="50"/>
        <v>0</v>
      </c>
      <c r="R13" s="607">
        <f t="shared" si="51"/>
        <v>0</v>
      </c>
      <c r="S13" s="607">
        <f t="shared" si="52"/>
        <v>0</v>
      </c>
      <c r="T13" s="607">
        <f t="shared" si="53"/>
        <v>0</v>
      </c>
      <c r="U13" s="607">
        <f t="shared" si="54"/>
        <v>0</v>
      </c>
      <c r="V13" s="607">
        <f t="shared" si="55"/>
        <v>0</v>
      </c>
      <c r="W13" s="607">
        <f t="shared" si="56"/>
        <v>0</v>
      </c>
      <c r="X13" s="607">
        <f t="shared" si="57"/>
        <v>0</v>
      </c>
      <c r="Y13" s="607">
        <f t="shared" si="58"/>
        <v>0</v>
      </c>
      <c r="Z13" s="607">
        <f t="shared" si="59"/>
        <v>0</v>
      </c>
      <c r="AA13" s="607">
        <f t="shared" si="60"/>
        <v>0</v>
      </c>
      <c r="AB13" s="607">
        <f t="shared" si="61"/>
        <v>0</v>
      </c>
      <c r="AC13" s="607">
        <f t="shared" si="62"/>
        <v>0</v>
      </c>
      <c r="AD13" s="607">
        <f t="shared" si="63"/>
        <v>0</v>
      </c>
      <c r="AE13" s="607">
        <f t="shared" si="64"/>
        <v>0</v>
      </c>
      <c r="AF13" s="608">
        <f t="shared" si="65"/>
        <v>0</v>
      </c>
      <c r="AG13" s="607">
        <f t="shared" si="33"/>
        <v>0</v>
      </c>
      <c r="AH13" s="608">
        <f t="shared" si="66"/>
        <v>0</v>
      </c>
      <c r="AI13" s="607">
        <f t="shared" si="34"/>
        <v>0</v>
      </c>
      <c r="AJ13" s="608">
        <f t="shared" si="67"/>
        <v>0</v>
      </c>
      <c r="AK13" s="607">
        <f t="shared" si="35"/>
        <v>0</v>
      </c>
      <c r="AL13" s="608">
        <f t="shared" si="68"/>
        <v>0</v>
      </c>
      <c r="AM13" s="607">
        <f t="shared" si="36"/>
        <v>0</v>
      </c>
      <c r="AN13" s="608">
        <f t="shared" si="69"/>
        <v>0</v>
      </c>
      <c r="AO13" s="607">
        <f t="shared" si="37"/>
        <v>0</v>
      </c>
      <c r="AP13" s="608">
        <f t="shared" si="70"/>
        <v>0</v>
      </c>
      <c r="AQ13" s="607">
        <f t="shared" si="38"/>
        <v>0</v>
      </c>
      <c r="AR13" s="608">
        <f t="shared" si="71"/>
        <v>0</v>
      </c>
      <c r="AS13" s="607">
        <f t="shared" si="39"/>
        <v>0</v>
      </c>
      <c r="AT13" s="608">
        <f t="shared" si="72"/>
        <v>0</v>
      </c>
      <c r="AU13" s="607">
        <f t="shared" si="40"/>
        <v>0</v>
      </c>
      <c r="AV13" s="608">
        <f t="shared" si="73"/>
        <v>0</v>
      </c>
      <c r="AW13" s="607">
        <f t="shared" si="41"/>
        <v>0</v>
      </c>
      <c r="AX13" s="608">
        <f t="shared" si="74"/>
        <v>0</v>
      </c>
      <c r="AY13" s="605"/>
    </row>
    <row r="14" spans="1:51" s="116" customFormat="1" ht="13.5" customHeight="1" x14ac:dyDescent="0.2">
      <c r="A14" s="600">
        <v>11</v>
      </c>
      <c r="B14" s="595"/>
      <c r="C14" s="207">
        <v>0</v>
      </c>
      <c r="D14" s="207">
        <v>0</v>
      </c>
      <c r="E14" s="207">
        <v>0</v>
      </c>
      <c r="F14" s="207">
        <v>0</v>
      </c>
      <c r="G14" s="607">
        <f t="shared" si="42"/>
        <v>0</v>
      </c>
      <c r="H14" s="607">
        <f t="shared" si="43"/>
        <v>0</v>
      </c>
      <c r="I14" s="607">
        <f t="shared" si="44"/>
        <v>0</v>
      </c>
      <c r="J14" s="207">
        <v>0</v>
      </c>
      <c r="K14" s="207">
        <v>0</v>
      </c>
      <c r="L14" s="607">
        <f t="shared" si="45"/>
        <v>0</v>
      </c>
      <c r="M14" s="607">
        <f t="shared" si="46"/>
        <v>0</v>
      </c>
      <c r="N14" s="607">
        <f t="shared" si="47"/>
        <v>0</v>
      </c>
      <c r="O14" s="607">
        <f t="shared" si="48"/>
        <v>0</v>
      </c>
      <c r="P14" s="607">
        <f t="shared" si="49"/>
        <v>0</v>
      </c>
      <c r="Q14" s="607">
        <f t="shared" si="50"/>
        <v>0</v>
      </c>
      <c r="R14" s="607">
        <f t="shared" si="51"/>
        <v>0</v>
      </c>
      <c r="S14" s="607">
        <f t="shared" si="52"/>
        <v>0</v>
      </c>
      <c r="T14" s="607">
        <f t="shared" si="53"/>
        <v>0</v>
      </c>
      <c r="U14" s="607">
        <f t="shared" si="54"/>
        <v>0</v>
      </c>
      <c r="V14" s="607">
        <f t="shared" si="55"/>
        <v>0</v>
      </c>
      <c r="W14" s="607">
        <f t="shared" si="56"/>
        <v>0</v>
      </c>
      <c r="X14" s="607">
        <f t="shared" si="57"/>
        <v>0</v>
      </c>
      <c r="Y14" s="607">
        <f t="shared" si="58"/>
        <v>0</v>
      </c>
      <c r="Z14" s="607">
        <f t="shared" si="59"/>
        <v>0</v>
      </c>
      <c r="AA14" s="607">
        <f t="shared" si="60"/>
        <v>0</v>
      </c>
      <c r="AB14" s="607">
        <f t="shared" si="61"/>
        <v>0</v>
      </c>
      <c r="AC14" s="607">
        <f t="shared" si="62"/>
        <v>0</v>
      </c>
      <c r="AD14" s="607">
        <f t="shared" si="63"/>
        <v>0</v>
      </c>
      <c r="AE14" s="607">
        <f t="shared" si="64"/>
        <v>0</v>
      </c>
      <c r="AF14" s="608">
        <f t="shared" si="65"/>
        <v>0</v>
      </c>
      <c r="AG14" s="607">
        <f t="shared" si="33"/>
        <v>0</v>
      </c>
      <c r="AH14" s="608">
        <f t="shared" si="66"/>
        <v>0</v>
      </c>
      <c r="AI14" s="607">
        <f t="shared" si="34"/>
        <v>0</v>
      </c>
      <c r="AJ14" s="608">
        <f t="shared" si="67"/>
        <v>0</v>
      </c>
      <c r="AK14" s="607">
        <f t="shared" si="35"/>
        <v>0</v>
      </c>
      <c r="AL14" s="608">
        <f t="shared" si="68"/>
        <v>0</v>
      </c>
      <c r="AM14" s="607">
        <f t="shared" si="36"/>
        <v>0</v>
      </c>
      <c r="AN14" s="608">
        <f t="shared" si="69"/>
        <v>0</v>
      </c>
      <c r="AO14" s="607">
        <f t="shared" si="37"/>
        <v>0</v>
      </c>
      <c r="AP14" s="608">
        <f t="shared" si="70"/>
        <v>0</v>
      </c>
      <c r="AQ14" s="607">
        <f t="shared" si="38"/>
        <v>0</v>
      </c>
      <c r="AR14" s="608">
        <f t="shared" si="71"/>
        <v>0</v>
      </c>
      <c r="AS14" s="607">
        <f t="shared" si="39"/>
        <v>0</v>
      </c>
      <c r="AT14" s="608">
        <f t="shared" si="72"/>
        <v>0</v>
      </c>
      <c r="AU14" s="607">
        <f t="shared" si="40"/>
        <v>0</v>
      </c>
      <c r="AV14" s="608">
        <f t="shared" si="73"/>
        <v>0</v>
      </c>
      <c r="AW14" s="607">
        <f t="shared" si="41"/>
        <v>0</v>
      </c>
      <c r="AX14" s="608">
        <f t="shared" si="74"/>
        <v>0</v>
      </c>
      <c r="AY14" s="605"/>
    </row>
    <row r="15" spans="1:51" s="116" customFormat="1" ht="13.5" customHeight="1" x14ac:dyDescent="0.2">
      <c r="A15" s="600">
        <v>12</v>
      </c>
      <c r="B15" s="595"/>
      <c r="C15" s="207">
        <v>0</v>
      </c>
      <c r="D15" s="207">
        <v>0</v>
      </c>
      <c r="E15" s="207">
        <v>0</v>
      </c>
      <c r="F15" s="207">
        <v>0</v>
      </c>
      <c r="G15" s="607">
        <f t="shared" si="42"/>
        <v>0</v>
      </c>
      <c r="H15" s="607">
        <f t="shared" si="43"/>
        <v>0</v>
      </c>
      <c r="I15" s="607">
        <f t="shared" si="44"/>
        <v>0</v>
      </c>
      <c r="J15" s="207">
        <v>0</v>
      </c>
      <c r="K15" s="207">
        <v>0</v>
      </c>
      <c r="L15" s="607">
        <f t="shared" si="45"/>
        <v>0</v>
      </c>
      <c r="M15" s="607">
        <f t="shared" si="46"/>
        <v>0</v>
      </c>
      <c r="N15" s="607">
        <f t="shared" si="47"/>
        <v>0</v>
      </c>
      <c r="O15" s="607">
        <f t="shared" si="48"/>
        <v>0</v>
      </c>
      <c r="P15" s="607">
        <f t="shared" si="49"/>
        <v>0</v>
      </c>
      <c r="Q15" s="607">
        <f t="shared" si="50"/>
        <v>0</v>
      </c>
      <c r="R15" s="607">
        <f t="shared" si="51"/>
        <v>0</v>
      </c>
      <c r="S15" s="607">
        <f t="shared" si="52"/>
        <v>0</v>
      </c>
      <c r="T15" s="607">
        <f t="shared" si="53"/>
        <v>0</v>
      </c>
      <c r="U15" s="607">
        <f t="shared" si="54"/>
        <v>0</v>
      </c>
      <c r="V15" s="607">
        <f t="shared" si="55"/>
        <v>0</v>
      </c>
      <c r="W15" s="607">
        <f t="shared" si="56"/>
        <v>0</v>
      </c>
      <c r="X15" s="607">
        <f t="shared" si="57"/>
        <v>0</v>
      </c>
      <c r="Y15" s="607">
        <f t="shared" si="58"/>
        <v>0</v>
      </c>
      <c r="Z15" s="607">
        <f t="shared" si="59"/>
        <v>0</v>
      </c>
      <c r="AA15" s="607">
        <f t="shared" si="60"/>
        <v>0</v>
      </c>
      <c r="AB15" s="607">
        <f t="shared" si="61"/>
        <v>0</v>
      </c>
      <c r="AC15" s="607">
        <f t="shared" si="62"/>
        <v>0</v>
      </c>
      <c r="AD15" s="607">
        <f t="shared" si="63"/>
        <v>0</v>
      </c>
      <c r="AE15" s="607">
        <f t="shared" si="64"/>
        <v>0</v>
      </c>
      <c r="AF15" s="608">
        <f t="shared" si="65"/>
        <v>0</v>
      </c>
      <c r="AG15" s="607">
        <f t="shared" si="33"/>
        <v>0</v>
      </c>
      <c r="AH15" s="608">
        <f t="shared" si="66"/>
        <v>0</v>
      </c>
      <c r="AI15" s="607">
        <f t="shared" si="34"/>
        <v>0</v>
      </c>
      <c r="AJ15" s="608">
        <f t="shared" si="67"/>
        <v>0</v>
      </c>
      <c r="AK15" s="607">
        <f t="shared" si="35"/>
        <v>0</v>
      </c>
      <c r="AL15" s="608">
        <f t="shared" si="68"/>
        <v>0</v>
      </c>
      <c r="AM15" s="607">
        <f t="shared" si="36"/>
        <v>0</v>
      </c>
      <c r="AN15" s="608">
        <f t="shared" si="69"/>
        <v>0</v>
      </c>
      <c r="AO15" s="607">
        <f t="shared" si="37"/>
        <v>0</v>
      </c>
      <c r="AP15" s="608">
        <f t="shared" si="70"/>
        <v>0</v>
      </c>
      <c r="AQ15" s="607">
        <f t="shared" si="38"/>
        <v>0</v>
      </c>
      <c r="AR15" s="608">
        <f t="shared" si="71"/>
        <v>0</v>
      </c>
      <c r="AS15" s="607">
        <f t="shared" si="39"/>
        <v>0</v>
      </c>
      <c r="AT15" s="608">
        <f t="shared" si="72"/>
        <v>0</v>
      </c>
      <c r="AU15" s="607">
        <f t="shared" si="40"/>
        <v>0</v>
      </c>
      <c r="AV15" s="608">
        <f t="shared" si="73"/>
        <v>0</v>
      </c>
      <c r="AW15" s="607">
        <f t="shared" si="41"/>
        <v>0</v>
      </c>
      <c r="AX15" s="608">
        <f t="shared" si="74"/>
        <v>0</v>
      </c>
      <c r="AY15" s="605"/>
    </row>
    <row r="16" spans="1:51" s="116" customFormat="1" ht="13.5" customHeight="1" x14ac:dyDescent="0.2">
      <c r="A16" s="600">
        <v>13</v>
      </c>
      <c r="B16" s="595"/>
      <c r="C16" s="207">
        <v>0</v>
      </c>
      <c r="D16" s="207">
        <v>0</v>
      </c>
      <c r="E16" s="207">
        <v>0</v>
      </c>
      <c r="F16" s="207">
        <v>0</v>
      </c>
      <c r="G16" s="607">
        <f t="shared" si="42"/>
        <v>0</v>
      </c>
      <c r="H16" s="607">
        <f t="shared" si="43"/>
        <v>0</v>
      </c>
      <c r="I16" s="607">
        <f t="shared" si="44"/>
        <v>0</v>
      </c>
      <c r="J16" s="207">
        <v>0</v>
      </c>
      <c r="K16" s="207">
        <v>0</v>
      </c>
      <c r="L16" s="607">
        <f t="shared" si="45"/>
        <v>0</v>
      </c>
      <c r="M16" s="607">
        <f t="shared" si="46"/>
        <v>0</v>
      </c>
      <c r="N16" s="607">
        <f t="shared" si="47"/>
        <v>0</v>
      </c>
      <c r="O16" s="607">
        <f t="shared" si="48"/>
        <v>0</v>
      </c>
      <c r="P16" s="607">
        <f t="shared" si="49"/>
        <v>0</v>
      </c>
      <c r="Q16" s="607">
        <f t="shared" si="50"/>
        <v>0</v>
      </c>
      <c r="R16" s="607">
        <f t="shared" si="51"/>
        <v>0</v>
      </c>
      <c r="S16" s="607">
        <f t="shared" si="52"/>
        <v>0</v>
      </c>
      <c r="T16" s="607">
        <f t="shared" si="53"/>
        <v>0</v>
      </c>
      <c r="U16" s="607">
        <f t="shared" si="54"/>
        <v>0</v>
      </c>
      <c r="V16" s="607">
        <f t="shared" si="55"/>
        <v>0</v>
      </c>
      <c r="W16" s="607">
        <f t="shared" si="56"/>
        <v>0</v>
      </c>
      <c r="X16" s="607">
        <f t="shared" si="57"/>
        <v>0</v>
      </c>
      <c r="Y16" s="607">
        <f t="shared" si="58"/>
        <v>0</v>
      </c>
      <c r="Z16" s="607">
        <f t="shared" si="59"/>
        <v>0</v>
      </c>
      <c r="AA16" s="607">
        <f t="shared" si="60"/>
        <v>0</v>
      </c>
      <c r="AB16" s="607">
        <f t="shared" si="61"/>
        <v>0</v>
      </c>
      <c r="AC16" s="607">
        <f t="shared" si="62"/>
        <v>0</v>
      </c>
      <c r="AD16" s="607">
        <f t="shared" si="63"/>
        <v>0</v>
      </c>
      <c r="AE16" s="607">
        <f t="shared" si="64"/>
        <v>0</v>
      </c>
      <c r="AF16" s="608">
        <f t="shared" si="65"/>
        <v>0</v>
      </c>
      <c r="AG16" s="607">
        <f t="shared" si="33"/>
        <v>0</v>
      </c>
      <c r="AH16" s="608">
        <f t="shared" si="66"/>
        <v>0</v>
      </c>
      <c r="AI16" s="607">
        <f t="shared" si="34"/>
        <v>0</v>
      </c>
      <c r="AJ16" s="608">
        <f t="shared" si="67"/>
        <v>0</v>
      </c>
      <c r="AK16" s="607">
        <f t="shared" si="35"/>
        <v>0</v>
      </c>
      <c r="AL16" s="608">
        <f t="shared" si="68"/>
        <v>0</v>
      </c>
      <c r="AM16" s="607">
        <f t="shared" si="36"/>
        <v>0</v>
      </c>
      <c r="AN16" s="608">
        <f t="shared" si="69"/>
        <v>0</v>
      </c>
      <c r="AO16" s="607">
        <f t="shared" si="37"/>
        <v>0</v>
      </c>
      <c r="AP16" s="608">
        <f t="shared" si="70"/>
        <v>0</v>
      </c>
      <c r="AQ16" s="607">
        <f t="shared" si="38"/>
        <v>0</v>
      </c>
      <c r="AR16" s="608">
        <f t="shared" si="71"/>
        <v>0</v>
      </c>
      <c r="AS16" s="607">
        <f t="shared" si="39"/>
        <v>0</v>
      </c>
      <c r="AT16" s="608">
        <f t="shared" si="72"/>
        <v>0</v>
      </c>
      <c r="AU16" s="607">
        <f t="shared" si="40"/>
        <v>0</v>
      </c>
      <c r="AV16" s="608">
        <f t="shared" si="73"/>
        <v>0</v>
      </c>
      <c r="AW16" s="607">
        <f t="shared" si="41"/>
        <v>0</v>
      </c>
      <c r="AX16" s="608">
        <f t="shared" si="74"/>
        <v>0</v>
      </c>
      <c r="AY16" s="605"/>
    </row>
    <row r="17" spans="1:51" s="116" customFormat="1" ht="13.5" customHeight="1" x14ac:dyDescent="0.2">
      <c r="A17" s="600">
        <v>14</v>
      </c>
      <c r="B17" s="595"/>
      <c r="C17" s="207">
        <v>0</v>
      </c>
      <c r="D17" s="207">
        <v>0</v>
      </c>
      <c r="E17" s="207">
        <v>0</v>
      </c>
      <c r="F17" s="207">
        <v>0</v>
      </c>
      <c r="G17" s="607">
        <f t="shared" si="42"/>
        <v>0</v>
      </c>
      <c r="H17" s="607">
        <f t="shared" si="43"/>
        <v>0</v>
      </c>
      <c r="I17" s="607">
        <f t="shared" si="44"/>
        <v>0</v>
      </c>
      <c r="J17" s="207">
        <v>0</v>
      </c>
      <c r="K17" s="207">
        <v>0</v>
      </c>
      <c r="L17" s="607">
        <f t="shared" si="45"/>
        <v>0</v>
      </c>
      <c r="M17" s="607">
        <f t="shared" si="46"/>
        <v>0</v>
      </c>
      <c r="N17" s="607">
        <f t="shared" si="47"/>
        <v>0</v>
      </c>
      <c r="O17" s="607">
        <f t="shared" si="48"/>
        <v>0</v>
      </c>
      <c r="P17" s="607">
        <f t="shared" si="49"/>
        <v>0</v>
      </c>
      <c r="Q17" s="607">
        <f t="shared" si="50"/>
        <v>0</v>
      </c>
      <c r="R17" s="607">
        <f t="shared" si="51"/>
        <v>0</v>
      </c>
      <c r="S17" s="607">
        <f t="shared" si="52"/>
        <v>0</v>
      </c>
      <c r="T17" s="607">
        <f t="shared" si="53"/>
        <v>0</v>
      </c>
      <c r="U17" s="607">
        <f t="shared" si="54"/>
        <v>0</v>
      </c>
      <c r="V17" s="607">
        <f t="shared" si="55"/>
        <v>0</v>
      </c>
      <c r="W17" s="607">
        <f t="shared" si="56"/>
        <v>0</v>
      </c>
      <c r="X17" s="607">
        <f t="shared" si="57"/>
        <v>0</v>
      </c>
      <c r="Y17" s="607">
        <f t="shared" si="58"/>
        <v>0</v>
      </c>
      <c r="Z17" s="607">
        <f t="shared" si="59"/>
        <v>0</v>
      </c>
      <c r="AA17" s="607">
        <f t="shared" si="60"/>
        <v>0</v>
      </c>
      <c r="AB17" s="607">
        <f t="shared" si="61"/>
        <v>0</v>
      </c>
      <c r="AC17" s="607">
        <f t="shared" si="62"/>
        <v>0</v>
      </c>
      <c r="AD17" s="607">
        <f t="shared" si="63"/>
        <v>0</v>
      </c>
      <c r="AE17" s="607">
        <f t="shared" si="64"/>
        <v>0</v>
      </c>
      <c r="AF17" s="608">
        <f t="shared" si="65"/>
        <v>0</v>
      </c>
      <c r="AG17" s="607">
        <f t="shared" si="33"/>
        <v>0</v>
      </c>
      <c r="AH17" s="608">
        <f t="shared" si="66"/>
        <v>0</v>
      </c>
      <c r="AI17" s="607">
        <f t="shared" si="34"/>
        <v>0</v>
      </c>
      <c r="AJ17" s="608">
        <f t="shared" si="67"/>
        <v>0</v>
      </c>
      <c r="AK17" s="607">
        <f t="shared" si="35"/>
        <v>0</v>
      </c>
      <c r="AL17" s="608">
        <f t="shared" si="68"/>
        <v>0</v>
      </c>
      <c r="AM17" s="607">
        <f t="shared" si="36"/>
        <v>0</v>
      </c>
      <c r="AN17" s="608">
        <f t="shared" si="69"/>
        <v>0</v>
      </c>
      <c r="AO17" s="607">
        <f t="shared" si="37"/>
        <v>0</v>
      </c>
      <c r="AP17" s="608">
        <f t="shared" si="70"/>
        <v>0</v>
      </c>
      <c r="AQ17" s="607">
        <f t="shared" si="38"/>
        <v>0</v>
      </c>
      <c r="AR17" s="608">
        <f t="shared" si="71"/>
        <v>0</v>
      </c>
      <c r="AS17" s="607">
        <f t="shared" si="39"/>
        <v>0</v>
      </c>
      <c r="AT17" s="608">
        <f t="shared" si="72"/>
        <v>0</v>
      </c>
      <c r="AU17" s="607">
        <f t="shared" si="40"/>
        <v>0</v>
      </c>
      <c r="AV17" s="608">
        <f t="shared" si="73"/>
        <v>0</v>
      </c>
      <c r="AW17" s="607">
        <f t="shared" si="41"/>
        <v>0</v>
      </c>
      <c r="AX17" s="608">
        <f t="shared" si="74"/>
        <v>0</v>
      </c>
      <c r="AY17" s="605"/>
    </row>
    <row r="18" spans="1:51" s="116" customFormat="1" x14ac:dyDescent="0.2">
      <c r="A18" s="600">
        <v>15</v>
      </c>
      <c r="B18" s="595"/>
      <c r="C18" s="207">
        <v>0</v>
      </c>
      <c r="D18" s="207">
        <v>0</v>
      </c>
      <c r="E18" s="207">
        <v>0</v>
      </c>
      <c r="F18" s="207">
        <v>0</v>
      </c>
      <c r="G18" s="607">
        <f t="shared" si="42"/>
        <v>0</v>
      </c>
      <c r="H18" s="607">
        <f t="shared" si="43"/>
        <v>0</v>
      </c>
      <c r="I18" s="607">
        <f>D18+E18+F18-H18</f>
        <v>0</v>
      </c>
      <c r="J18" s="207">
        <v>0</v>
      </c>
      <c r="K18" s="207">
        <v>0</v>
      </c>
      <c r="L18" s="607">
        <f>SUM(J18:K18)</f>
        <v>0</v>
      </c>
      <c r="M18" s="607">
        <f>(I18+J18)*C18/100+K18*H18/100/2</f>
        <v>0</v>
      </c>
      <c r="N18" s="607">
        <f t="shared" si="47"/>
        <v>0</v>
      </c>
      <c r="O18" s="607">
        <f>N18*C18/100</f>
        <v>0</v>
      </c>
      <c r="P18" s="607">
        <f>N18-O18</f>
        <v>0</v>
      </c>
      <c r="Q18" s="607">
        <f>P18*C18/100</f>
        <v>0</v>
      </c>
      <c r="R18" s="607">
        <f>P18-Q18</f>
        <v>0</v>
      </c>
      <c r="S18" s="607">
        <f>R18*C18/100</f>
        <v>0</v>
      </c>
      <c r="T18" s="607">
        <f>R18-S18</f>
        <v>0</v>
      </c>
      <c r="U18" s="607">
        <f>T18*C18/100</f>
        <v>0</v>
      </c>
      <c r="V18" s="607">
        <f>T18-U18</f>
        <v>0</v>
      </c>
      <c r="W18" s="607">
        <f>V18*C18/100</f>
        <v>0</v>
      </c>
      <c r="X18" s="607">
        <f>V18-W18</f>
        <v>0</v>
      </c>
      <c r="Y18" s="607">
        <f>X18*C18/100</f>
        <v>0</v>
      </c>
      <c r="Z18" s="607">
        <f>X18-Y18</f>
        <v>0</v>
      </c>
      <c r="AA18" s="607">
        <f>Z18*C18/100</f>
        <v>0</v>
      </c>
      <c r="AB18" s="607">
        <f>Z18-AA18</f>
        <v>0</v>
      </c>
      <c r="AC18" s="607">
        <f>AB18*C18/100</f>
        <v>0</v>
      </c>
      <c r="AD18" s="607">
        <f>AB18-AC18</f>
        <v>0</v>
      </c>
      <c r="AE18" s="607">
        <f>AD18*C18/100</f>
        <v>0</v>
      </c>
      <c r="AF18" s="608">
        <f>AD18-AE18</f>
        <v>0</v>
      </c>
      <c r="AG18" s="607">
        <f t="shared" si="33"/>
        <v>0</v>
      </c>
      <c r="AH18" s="608">
        <f>AF18-AG18</f>
        <v>0</v>
      </c>
      <c r="AI18" s="607">
        <f t="shared" si="34"/>
        <v>0</v>
      </c>
      <c r="AJ18" s="608">
        <f>AH18-AI18</f>
        <v>0</v>
      </c>
      <c r="AK18" s="607">
        <f t="shared" si="35"/>
        <v>0</v>
      </c>
      <c r="AL18" s="608">
        <f>AJ18-AK18</f>
        <v>0</v>
      </c>
      <c r="AM18" s="607">
        <f t="shared" si="36"/>
        <v>0</v>
      </c>
      <c r="AN18" s="608">
        <f>AL18-AM18</f>
        <v>0</v>
      </c>
      <c r="AO18" s="607">
        <f t="shared" si="37"/>
        <v>0</v>
      </c>
      <c r="AP18" s="608">
        <f>AN18-AO18</f>
        <v>0</v>
      </c>
      <c r="AQ18" s="607">
        <f t="shared" si="38"/>
        <v>0</v>
      </c>
      <c r="AR18" s="608">
        <f>AP18-AQ18</f>
        <v>0</v>
      </c>
      <c r="AS18" s="607">
        <f t="shared" si="39"/>
        <v>0</v>
      </c>
      <c r="AT18" s="608">
        <f>AR18-AS18</f>
        <v>0</v>
      </c>
      <c r="AU18" s="607">
        <f t="shared" si="40"/>
        <v>0</v>
      </c>
      <c r="AV18" s="608">
        <f>AT18-AU18</f>
        <v>0</v>
      </c>
      <c r="AW18" s="607">
        <f t="shared" si="41"/>
        <v>0</v>
      </c>
      <c r="AX18" s="608">
        <f>AV18-AW18</f>
        <v>0</v>
      </c>
      <c r="AY18" s="605"/>
    </row>
    <row r="19" spans="1:51" s="117" customFormat="1" x14ac:dyDescent="0.2">
      <c r="A19" s="816"/>
      <c r="B19" s="967" t="s">
        <v>258</v>
      </c>
      <c r="C19" s="981"/>
      <c r="D19" s="981">
        <f t="shared" ref="D19:AX19" si="75">SUM(D4:D18)</f>
        <v>0</v>
      </c>
      <c r="E19" s="981">
        <f t="shared" si="75"/>
        <v>0</v>
      </c>
      <c r="F19" s="981">
        <f t="shared" si="75"/>
        <v>0</v>
      </c>
      <c r="G19" s="981">
        <f t="shared" si="75"/>
        <v>0</v>
      </c>
      <c r="H19" s="981">
        <f t="shared" si="75"/>
        <v>0</v>
      </c>
      <c r="I19" s="981">
        <f t="shared" si="75"/>
        <v>0</v>
      </c>
      <c r="J19" s="981">
        <f t="shared" si="75"/>
        <v>0</v>
      </c>
      <c r="K19" s="981">
        <f t="shared" si="75"/>
        <v>0</v>
      </c>
      <c r="L19" s="981">
        <f t="shared" si="75"/>
        <v>0</v>
      </c>
      <c r="M19" s="981">
        <f t="shared" si="75"/>
        <v>0</v>
      </c>
      <c r="N19" s="981">
        <f t="shared" si="75"/>
        <v>0</v>
      </c>
      <c r="O19" s="981">
        <f t="shared" si="75"/>
        <v>0</v>
      </c>
      <c r="P19" s="981">
        <f t="shared" si="75"/>
        <v>0</v>
      </c>
      <c r="Q19" s="981">
        <f t="shared" si="75"/>
        <v>0</v>
      </c>
      <c r="R19" s="981">
        <f t="shared" si="75"/>
        <v>0</v>
      </c>
      <c r="S19" s="981">
        <f t="shared" si="75"/>
        <v>0</v>
      </c>
      <c r="T19" s="981">
        <f t="shared" si="75"/>
        <v>0</v>
      </c>
      <c r="U19" s="981">
        <f t="shared" si="75"/>
        <v>0</v>
      </c>
      <c r="V19" s="981">
        <f t="shared" si="75"/>
        <v>0</v>
      </c>
      <c r="W19" s="981">
        <f t="shared" si="75"/>
        <v>0</v>
      </c>
      <c r="X19" s="981">
        <f t="shared" si="75"/>
        <v>0</v>
      </c>
      <c r="Y19" s="981">
        <f t="shared" si="75"/>
        <v>0</v>
      </c>
      <c r="Z19" s="981">
        <f t="shared" si="75"/>
        <v>0</v>
      </c>
      <c r="AA19" s="981">
        <f t="shared" si="75"/>
        <v>0</v>
      </c>
      <c r="AB19" s="981">
        <f t="shared" si="75"/>
        <v>0</v>
      </c>
      <c r="AC19" s="981">
        <f t="shared" si="75"/>
        <v>0</v>
      </c>
      <c r="AD19" s="981">
        <f t="shared" si="75"/>
        <v>0</v>
      </c>
      <c r="AE19" s="981">
        <f t="shared" si="75"/>
        <v>0</v>
      </c>
      <c r="AF19" s="981">
        <f t="shared" si="75"/>
        <v>0</v>
      </c>
      <c r="AG19" s="981">
        <f t="shared" si="75"/>
        <v>0</v>
      </c>
      <c r="AH19" s="981">
        <f t="shared" si="75"/>
        <v>0</v>
      </c>
      <c r="AI19" s="981">
        <f t="shared" si="75"/>
        <v>0</v>
      </c>
      <c r="AJ19" s="981">
        <f t="shared" si="75"/>
        <v>0</v>
      </c>
      <c r="AK19" s="981">
        <f t="shared" si="75"/>
        <v>0</v>
      </c>
      <c r="AL19" s="981">
        <f t="shared" si="75"/>
        <v>0</v>
      </c>
      <c r="AM19" s="981">
        <f t="shared" si="75"/>
        <v>0</v>
      </c>
      <c r="AN19" s="981">
        <f t="shared" si="75"/>
        <v>0</v>
      </c>
      <c r="AO19" s="981">
        <f t="shared" si="75"/>
        <v>0</v>
      </c>
      <c r="AP19" s="981">
        <f t="shared" si="75"/>
        <v>0</v>
      </c>
      <c r="AQ19" s="981">
        <f t="shared" si="75"/>
        <v>0</v>
      </c>
      <c r="AR19" s="981">
        <f t="shared" si="75"/>
        <v>0</v>
      </c>
      <c r="AS19" s="981">
        <f t="shared" si="75"/>
        <v>0</v>
      </c>
      <c r="AT19" s="981">
        <f t="shared" si="75"/>
        <v>0</v>
      </c>
      <c r="AU19" s="981">
        <f t="shared" si="75"/>
        <v>0</v>
      </c>
      <c r="AV19" s="981">
        <f t="shared" si="75"/>
        <v>0</v>
      </c>
      <c r="AW19" s="981">
        <f t="shared" si="75"/>
        <v>0</v>
      </c>
      <c r="AX19" s="981">
        <f t="shared" si="75"/>
        <v>0</v>
      </c>
      <c r="AY19" s="606"/>
    </row>
    <row r="20" spans="1:51" s="117" customFormat="1" x14ac:dyDescent="0.2">
      <c r="A20" s="816"/>
      <c r="B20" s="966"/>
      <c r="C20" s="591"/>
      <c r="D20" s="591"/>
      <c r="E20" s="591"/>
      <c r="F20" s="591"/>
      <c r="G20" s="591"/>
      <c r="H20" s="591"/>
      <c r="I20" s="591"/>
      <c r="J20" s="591"/>
      <c r="K20" s="591"/>
      <c r="L20" s="591"/>
      <c r="M20" s="591"/>
      <c r="N20" s="591"/>
      <c r="O20" s="591"/>
      <c r="P20" s="591"/>
      <c r="Q20" s="591"/>
      <c r="R20" s="591"/>
      <c r="S20" s="591"/>
      <c r="T20" s="591"/>
      <c r="U20" s="591"/>
      <c r="V20" s="591"/>
      <c r="W20" s="591"/>
      <c r="X20" s="591"/>
      <c r="Y20" s="591"/>
      <c r="Z20" s="591"/>
      <c r="AA20" s="591"/>
      <c r="AB20" s="591"/>
      <c r="AC20" s="591"/>
      <c r="AD20" s="591"/>
      <c r="AE20" s="591"/>
      <c r="AF20" s="591"/>
      <c r="AG20" s="591"/>
      <c r="AH20" s="591"/>
      <c r="AI20" s="591"/>
      <c r="AJ20" s="591"/>
      <c r="AK20" s="591"/>
      <c r="AL20" s="591"/>
      <c r="AM20" s="591"/>
      <c r="AN20" s="591"/>
      <c r="AO20" s="591"/>
      <c r="AP20" s="591"/>
      <c r="AQ20" s="591"/>
      <c r="AR20" s="591"/>
      <c r="AS20" s="591"/>
      <c r="AT20" s="591"/>
      <c r="AU20" s="591"/>
      <c r="AV20" s="591"/>
      <c r="AW20" s="591"/>
      <c r="AX20" s="591"/>
      <c r="AY20" s="969"/>
    </row>
    <row r="21" spans="1:51" s="117" customFormat="1" ht="18.75" customHeight="1" x14ac:dyDescent="0.2">
      <c r="A21" s="816"/>
      <c r="B21" s="821" t="s">
        <v>517</v>
      </c>
      <c r="C21" s="968">
        <f>G19+L19</f>
        <v>0</v>
      </c>
      <c r="D21" s="591"/>
      <c r="E21" s="591"/>
      <c r="F21" s="591"/>
      <c r="G21" s="591"/>
      <c r="H21" s="591"/>
      <c r="I21" s="591"/>
      <c r="J21" s="591"/>
      <c r="K21" s="591"/>
      <c r="L21" s="591"/>
      <c r="M21" s="591"/>
      <c r="N21" s="591"/>
      <c r="O21" s="591"/>
      <c r="P21" s="591"/>
      <c r="Q21" s="591"/>
      <c r="R21" s="591"/>
      <c r="S21" s="591"/>
      <c r="T21" s="591"/>
      <c r="U21" s="591"/>
      <c r="V21" s="591"/>
      <c r="W21" s="591"/>
      <c r="X21" s="591"/>
      <c r="Y21" s="591"/>
      <c r="Z21" s="591"/>
      <c r="AA21" s="591"/>
      <c r="AB21" s="591"/>
      <c r="AC21" s="591"/>
      <c r="AD21" s="591"/>
      <c r="AE21" s="591"/>
      <c r="AF21" s="591"/>
      <c r="AG21" s="591"/>
      <c r="AH21" s="591"/>
      <c r="AI21" s="591"/>
      <c r="AJ21" s="591"/>
      <c r="AK21" s="591"/>
      <c r="AL21" s="591"/>
      <c r="AM21" s="591"/>
      <c r="AN21" s="591"/>
      <c r="AO21" s="591"/>
      <c r="AP21" s="591"/>
      <c r="AQ21" s="591"/>
      <c r="AR21" s="591"/>
      <c r="AS21" s="591"/>
      <c r="AT21" s="591"/>
      <c r="AU21" s="591"/>
      <c r="AV21" s="591"/>
      <c r="AW21" s="591"/>
      <c r="AX21" s="591"/>
      <c r="AY21" s="969"/>
    </row>
    <row r="22" spans="1:51" s="116" customFormat="1" x14ac:dyDescent="0.2">
      <c r="A22" s="817"/>
      <c r="B22" s="587"/>
      <c r="C22" s="593"/>
      <c r="D22" s="589"/>
      <c r="E22" s="590"/>
      <c r="F22" s="590"/>
      <c r="G22" s="820"/>
      <c r="H22" s="592"/>
      <c r="I22" s="593"/>
      <c r="J22" s="590"/>
      <c r="K22" s="590"/>
      <c r="L22" s="590"/>
      <c r="M22" s="590"/>
      <c r="N22" s="590"/>
      <c r="O22" s="590"/>
      <c r="P22" s="591"/>
      <c r="Q22" s="592"/>
      <c r="R22" s="593"/>
      <c r="S22" s="590"/>
      <c r="T22" s="591"/>
      <c r="U22" s="592"/>
      <c r="V22" s="593"/>
      <c r="W22" s="590"/>
      <c r="X22" s="590"/>
      <c r="Y22" s="590"/>
      <c r="Z22" s="590"/>
      <c r="AA22" s="590"/>
      <c r="AB22" s="590"/>
      <c r="AC22" s="590"/>
      <c r="AD22" s="590"/>
      <c r="AE22" s="590"/>
      <c r="AF22" s="590"/>
      <c r="AG22" s="590"/>
      <c r="AH22" s="590"/>
      <c r="AI22" s="590"/>
      <c r="AJ22" s="590"/>
      <c r="AK22" s="590"/>
      <c r="AL22" s="590"/>
      <c r="AM22" s="590"/>
      <c r="AN22" s="590"/>
      <c r="AO22" s="590"/>
      <c r="AP22" s="590"/>
      <c r="AQ22" s="590"/>
      <c r="AR22" s="590"/>
      <c r="AS22" s="590"/>
      <c r="AT22" s="590"/>
      <c r="AU22" s="590"/>
      <c r="AV22" s="590"/>
      <c r="AW22" s="590"/>
      <c r="AX22" s="590"/>
      <c r="AY22" s="970"/>
    </row>
    <row r="23" spans="1:51" s="120" customFormat="1" x14ac:dyDescent="0.2">
      <c r="A23" s="818"/>
      <c r="B23" s="821"/>
      <c r="C23" s="1016">
        <f>H3</f>
        <v>2020</v>
      </c>
      <c r="D23" s="1017">
        <f>M3</f>
        <v>2021</v>
      </c>
      <c r="E23" s="1016">
        <f>O3</f>
        <v>2022</v>
      </c>
      <c r="F23" s="1016">
        <f>Q3</f>
        <v>2023</v>
      </c>
      <c r="G23" s="1016">
        <f>S3</f>
        <v>2024</v>
      </c>
      <c r="H23" s="1016">
        <f>U3</f>
        <v>2025</v>
      </c>
      <c r="I23" s="1016">
        <f>W3</f>
        <v>2026</v>
      </c>
      <c r="J23" s="1016">
        <f>Y3</f>
        <v>2027</v>
      </c>
      <c r="K23" s="1016">
        <f>AA3</f>
        <v>2028</v>
      </c>
      <c r="L23" s="1016">
        <f>AC3</f>
        <v>2029</v>
      </c>
      <c r="M23" s="1016">
        <f>AE3</f>
        <v>2030</v>
      </c>
      <c r="N23" s="1016">
        <f>AG3</f>
        <v>2031</v>
      </c>
      <c r="O23" s="1016">
        <f>AI3</f>
        <v>2032</v>
      </c>
      <c r="P23" s="1016">
        <f>AK3</f>
        <v>2033</v>
      </c>
      <c r="Q23" s="1016">
        <f>AM3</f>
        <v>2034</v>
      </c>
      <c r="R23" s="1016">
        <f>AO3</f>
        <v>2035</v>
      </c>
      <c r="S23" s="1016">
        <f>AQ3</f>
        <v>2036</v>
      </c>
      <c r="T23" s="1016">
        <f>AS3</f>
        <v>2037</v>
      </c>
      <c r="U23" s="1016">
        <f>AU3</f>
        <v>2038</v>
      </c>
      <c r="V23" s="1016">
        <f>AW3</f>
        <v>2039</v>
      </c>
      <c r="W23" s="593"/>
      <c r="X23" s="593"/>
      <c r="Y23" s="593"/>
      <c r="Z23" s="593"/>
      <c r="AA23" s="593"/>
      <c r="AB23" s="593"/>
      <c r="AC23" s="593"/>
      <c r="AD23" s="593"/>
      <c r="AE23" s="593"/>
      <c r="AF23" s="593"/>
      <c r="AG23" s="593"/>
      <c r="AH23" s="593"/>
      <c r="AI23" s="593"/>
      <c r="AJ23" s="593"/>
      <c r="AK23" s="593"/>
      <c r="AL23" s="593"/>
      <c r="AM23" s="593"/>
      <c r="AN23" s="593"/>
      <c r="AO23" s="593"/>
      <c r="AP23" s="593"/>
      <c r="AQ23" s="593"/>
      <c r="AR23" s="593"/>
      <c r="AS23" s="593"/>
      <c r="AT23" s="593"/>
      <c r="AU23" s="593"/>
      <c r="AV23" s="593"/>
      <c r="AW23" s="593"/>
      <c r="AX23" s="593"/>
      <c r="AY23" s="971"/>
    </row>
    <row r="24" spans="1:51" x14ac:dyDescent="0.2">
      <c r="A24" s="819"/>
      <c r="B24" s="124" t="s">
        <v>495</v>
      </c>
      <c r="C24" s="125">
        <f>H19</f>
        <v>0</v>
      </c>
      <c r="D24" s="125">
        <f>M19</f>
        <v>0</v>
      </c>
      <c r="E24" s="125">
        <f>O19</f>
        <v>0</v>
      </c>
      <c r="F24" s="125">
        <f>Q19</f>
        <v>0</v>
      </c>
      <c r="G24" s="125">
        <f>S19</f>
        <v>0</v>
      </c>
      <c r="H24" s="125">
        <f>U19</f>
        <v>0</v>
      </c>
      <c r="I24" s="125">
        <f>W19</f>
        <v>0</v>
      </c>
      <c r="J24" s="125">
        <f>Y19</f>
        <v>0</v>
      </c>
      <c r="K24" s="125">
        <f>AA19</f>
        <v>0</v>
      </c>
      <c r="L24" s="125">
        <f>AC19</f>
        <v>0</v>
      </c>
      <c r="M24" s="125">
        <f>AE19</f>
        <v>0</v>
      </c>
      <c r="N24" s="125">
        <f>AG19</f>
        <v>0</v>
      </c>
      <c r="O24" s="125">
        <f>AI19</f>
        <v>0</v>
      </c>
      <c r="P24" s="125">
        <f>AK19</f>
        <v>0</v>
      </c>
      <c r="Q24" s="125">
        <f>AM19</f>
        <v>0</v>
      </c>
      <c r="R24" s="125">
        <f>AO19</f>
        <v>0</v>
      </c>
      <c r="S24" s="125">
        <f>AQ19</f>
        <v>0</v>
      </c>
      <c r="T24" s="125">
        <f>AS19</f>
        <v>0</v>
      </c>
      <c r="U24" s="125">
        <f>AU19</f>
        <v>0</v>
      </c>
      <c r="V24" s="125">
        <f>AW19</f>
        <v>0</v>
      </c>
      <c r="W24" s="592"/>
      <c r="X24" s="592"/>
      <c r="Y24" s="592"/>
      <c r="Z24" s="592"/>
      <c r="AA24" s="592"/>
      <c r="AB24" s="592"/>
      <c r="AC24" s="592"/>
      <c r="AD24" s="592"/>
      <c r="AE24" s="592"/>
      <c r="AF24" s="592"/>
      <c r="AG24" s="592"/>
      <c r="AH24" s="592"/>
      <c r="AI24" s="592"/>
      <c r="AJ24" s="592"/>
      <c r="AK24" s="592"/>
      <c r="AL24" s="592"/>
      <c r="AM24" s="592"/>
      <c r="AN24" s="592"/>
      <c r="AO24" s="592"/>
      <c r="AP24" s="592"/>
      <c r="AQ24" s="592"/>
      <c r="AR24" s="592"/>
      <c r="AS24" s="592"/>
      <c r="AT24" s="592"/>
      <c r="AU24" s="592"/>
      <c r="AV24" s="592"/>
      <c r="AW24" s="592"/>
      <c r="AX24" s="592"/>
      <c r="AY24" s="972"/>
    </row>
    <row r="25" spans="1:51" x14ac:dyDescent="0.2">
      <c r="A25" s="973"/>
      <c r="B25" s="974"/>
      <c r="C25" s="975"/>
      <c r="D25" s="976"/>
      <c r="E25" s="977"/>
      <c r="F25" s="977"/>
      <c r="G25" s="977"/>
      <c r="H25" s="977"/>
      <c r="I25" s="978"/>
      <c r="J25" s="979"/>
      <c r="K25" s="979"/>
      <c r="L25" s="979"/>
      <c r="M25" s="979"/>
      <c r="N25" s="979"/>
      <c r="O25" s="979"/>
      <c r="P25" s="975"/>
      <c r="Q25" s="977"/>
      <c r="R25" s="978"/>
      <c r="S25" s="979"/>
      <c r="T25" s="975"/>
      <c r="U25" s="977"/>
      <c r="V25" s="978"/>
      <c r="W25" s="979"/>
      <c r="X25" s="979"/>
      <c r="Y25" s="979"/>
      <c r="Z25" s="979"/>
      <c r="AA25" s="979"/>
      <c r="AB25" s="979"/>
      <c r="AC25" s="979"/>
      <c r="AD25" s="979"/>
      <c r="AE25" s="979"/>
      <c r="AF25" s="979"/>
      <c r="AG25" s="979"/>
      <c r="AH25" s="979"/>
      <c r="AI25" s="979"/>
      <c r="AJ25" s="979"/>
      <c r="AK25" s="979"/>
      <c r="AL25" s="979"/>
      <c r="AM25" s="979"/>
      <c r="AN25" s="979"/>
      <c r="AO25" s="979"/>
      <c r="AP25" s="979"/>
      <c r="AQ25" s="979"/>
      <c r="AR25" s="979"/>
      <c r="AS25" s="979"/>
      <c r="AT25" s="979"/>
      <c r="AU25" s="979"/>
      <c r="AV25" s="979"/>
      <c r="AW25" s="979"/>
      <c r="AX25" s="979"/>
      <c r="AY25" s="980"/>
    </row>
    <row r="27" spans="1:51" hidden="1" x14ac:dyDescent="0.2">
      <c r="C27" s="120" t="s">
        <v>295</v>
      </c>
    </row>
    <row r="28" spans="1:51" hidden="1" x14ac:dyDescent="0.2">
      <c r="C28" s="120" t="s">
        <v>296</v>
      </c>
      <c r="E28" s="120"/>
    </row>
    <row r="29" spans="1:51" hidden="1" x14ac:dyDescent="0.2">
      <c r="C29" s="120" t="s">
        <v>297</v>
      </c>
      <c r="E29" s="120"/>
    </row>
    <row r="30" spans="1:51" hidden="1" x14ac:dyDescent="0.2">
      <c r="C30" s="120" t="s">
        <v>298</v>
      </c>
      <c r="E30" s="120"/>
    </row>
    <row r="31" spans="1:51" hidden="1" x14ac:dyDescent="0.2">
      <c r="C31" s="120" t="s">
        <v>299</v>
      </c>
      <c r="E31" s="120"/>
    </row>
    <row r="32" spans="1:51" hidden="1" x14ac:dyDescent="0.2">
      <c r="C32" s="120" t="s">
        <v>506</v>
      </c>
      <c r="E32" s="120"/>
    </row>
    <row r="33" spans="3:5" hidden="1" x14ac:dyDescent="0.2">
      <c r="C33" s="120" t="s">
        <v>304</v>
      </c>
      <c r="E33" s="120"/>
    </row>
    <row r="34" spans="3:5" hidden="1" x14ac:dyDescent="0.2">
      <c r="C34" s="120" t="s">
        <v>354</v>
      </c>
      <c r="E34" s="120"/>
    </row>
    <row r="35" spans="3:5" hidden="1" x14ac:dyDescent="0.2">
      <c r="C35" s="120" t="s">
        <v>99</v>
      </c>
      <c r="E35" s="120"/>
    </row>
    <row r="36" spans="3:5" hidden="1" x14ac:dyDescent="0.2">
      <c r="C36" s="120" t="s">
        <v>100</v>
      </c>
      <c r="E36" s="120"/>
    </row>
    <row r="37" spans="3:5" hidden="1" x14ac:dyDescent="0.2">
      <c r="C37" s="120" t="s">
        <v>507</v>
      </c>
      <c r="E37" s="120"/>
    </row>
    <row r="38" spans="3:5" hidden="1" x14ac:dyDescent="0.2">
      <c r="C38" s="120" t="s">
        <v>508</v>
      </c>
      <c r="E38" s="120"/>
    </row>
    <row r="39" spans="3:5" hidden="1" x14ac:dyDescent="0.2">
      <c r="C39" s="120" t="s">
        <v>509</v>
      </c>
      <c r="E39" s="120"/>
    </row>
    <row r="40" spans="3:5" hidden="1" x14ac:dyDescent="0.2">
      <c r="C40" s="120" t="s">
        <v>689</v>
      </c>
      <c r="E40" s="120"/>
    </row>
    <row r="41" spans="3:5" hidden="1" x14ac:dyDescent="0.2">
      <c r="C41" s="120" t="s">
        <v>690</v>
      </c>
    </row>
    <row r="42" spans="3:5" hidden="1" x14ac:dyDescent="0.2">
      <c r="C42" s="120" t="s">
        <v>691</v>
      </c>
    </row>
    <row r="43" spans="3:5" hidden="1" x14ac:dyDescent="0.2">
      <c r="C43" s="120" t="s">
        <v>692</v>
      </c>
    </row>
    <row r="44" spans="3:5" hidden="1" x14ac:dyDescent="0.2">
      <c r="C44" s="120" t="s">
        <v>693</v>
      </c>
    </row>
    <row r="45" spans="3:5" hidden="1" x14ac:dyDescent="0.2">
      <c r="C45" s="120" t="s">
        <v>694</v>
      </c>
    </row>
    <row r="46" spans="3:5" hidden="1" x14ac:dyDescent="0.2">
      <c r="C46" s="120" t="s">
        <v>695</v>
      </c>
    </row>
    <row r="47" spans="3:5" hidden="1" x14ac:dyDescent="0.2">
      <c r="C47" s="120" t="s">
        <v>738</v>
      </c>
    </row>
    <row r="48" spans="3:5" hidden="1" x14ac:dyDescent="0.2">
      <c r="C48" s="120" t="s">
        <v>993</v>
      </c>
    </row>
  </sheetData>
  <protectedRanges>
    <protectedRange sqref="J4:K18" name="Range2"/>
    <protectedRange sqref="E3 B4:F18" name="Range1"/>
  </protectedRanges>
  <phoneticPr fontId="0" type="noConversion"/>
  <pageMargins left="0.5" right="0" top="1" bottom="1" header="0.5" footer="0.5"/>
  <pageSetup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AD104"/>
  <sheetViews>
    <sheetView topLeftCell="A7" zoomScale="85" zoomScaleNormal="85" workbookViewId="0">
      <selection activeCell="O33" sqref="O33"/>
    </sheetView>
  </sheetViews>
  <sheetFormatPr defaultRowHeight="12.75" x14ac:dyDescent="0.2"/>
  <cols>
    <col min="1" max="1" width="2.85546875" style="418" customWidth="1"/>
    <col min="2" max="2" width="26.7109375" style="418" customWidth="1"/>
    <col min="3" max="16" width="9.85546875" style="418" customWidth="1"/>
    <col min="17" max="22" width="9.140625" style="418"/>
    <col min="23" max="28" width="9.140625" style="418" hidden="1" customWidth="1"/>
    <col min="29" max="16384" width="9.140625" style="418"/>
  </cols>
  <sheetData>
    <row r="1" spans="1:29" x14ac:dyDescent="0.2">
      <c r="A1" s="446"/>
      <c r="B1" s="446"/>
      <c r="C1" s="446"/>
      <c r="D1" s="446"/>
      <c r="E1" s="446"/>
      <c r="F1" s="446"/>
      <c r="G1" s="446"/>
      <c r="H1" s="446"/>
      <c r="I1" s="473" t="s">
        <v>206</v>
      </c>
      <c r="J1" s="473"/>
      <c r="K1" s="473"/>
      <c r="L1" s="473"/>
      <c r="M1" s="473"/>
      <c r="N1" s="473"/>
      <c r="O1" s="473"/>
      <c r="P1" s="473"/>
      <c r="Q1" s="473"/>
      <c r="R1" s="473"/>
      <c r="S1" s="473"/>
      <c r="T1" s="473"/>
      <c r="U1" s="473"/>
      <c r="V1" s="473"/>
      <c r="W1" s="446"/>
      <c r="X1" s="446"/>
      <c r="Y1" s="446"/>
      <c r="Z1" s="446"/>
      <c r="AA1" s="446"/>
      <c r="AB1" s="446"/>
      <c r="AC1" s="446"/>
    </row>
    <row r="2" spans="1:29" x14ac:dyDescent="0.2">
      <c r="A2" s="446"/>
      <c r="B2" s="446"/>
      <c r="C2" s="446"/>
      <c r="D2" s="446"/>
      <c r="E2" s="446"/>
      <c r="F2" s="446"/>
      <c r="G2" s="446"/>
      <c r="H2" s="446"/>
      <c r="I2" s="446"/>
      <c r="J2" s="446"/>
      <c r="K2" s="446"/>
      <c r="L2" s="446"/>
      <c r="M2" s="446"/>
      <c r="N2" s="446"/>
      <c r="O2" s="446"/>
      <c r="P2" s="446"/>
      <c r="Q2" s="446"/>
      <c r="R2" s="446"/>
      <c r="S2" s="446"/>
      <c r="T2" s="446"/>
      <c r="U2" s="446"/>
      <c r="V2" s="446"/>
      <c r="W2" s="446"/>
      <c r="X2" s="446"/>
      <c r="Y2" s="446"/>
      <c r="Z2" s="446"/>
      <c r="AA2" s="446"/>
      <c r="AB2" s="446"/>
      <c r="AC2" s="446"/>
    </row>
    <row r="3" spans="1:29" x14ac:dyDescent="0.2">
      <c r="A3" s="446"/>
      <c r="B3" s="446"/>
      <c r="C3" s="446"/>
      <c r="D3" s="446"/>
      <c r="E3" s="446"/>
      <c r="F3" s="446"/>
      <c r="G3" s="446"/>
      <c r="H3" s="446"/>
      <c r="I3" s="446"/>
      <c r="J3" s="446"/>
      <c r="K3" s="446"/>
      <c r="L3" s="446"/>
      <c r="M3" s="446"/>
      <c r="N3" s="446"/>
      <c r="O3" s="446"/>
      <c r="P3" s="446"/>
      <c r="Q3" s="446"/>
      <c r="R3" s="446"/>
      <c r="S3" s="446"/>
      <c r="T3" s="446"/>
      <c r="U3" s="446"/>
      <c r="V3" s="446"/>
      <c r="W3" s="446"/>
      <c r="X3" s="446"/>
      <c r="Y3" s="446"/>
      <c r="Z3" s="446"/>
      <c r="AA3" s="446"/>
      <c r="AB3" s="446"/>
      <c r="AC3" s="446"/>
    </row>
    <row r="4" spans="1:29" x14ac:dyDescent="0.2">
      <c r="A4" s="446"/>
      <c r="B4" s="410" t="s">
        <v>786</v>
      </c>
      <c r="C4" s="446"/>
      <c r="D4" s="474" t="s">
        <v>207</v>
      </c>
      <c r="E4" s="474"/>
      <c r="F4" s="474"/>
      <c r="G4" s="474"/>
      <c r="H4" s="474"/>
      <c r="I4" s="474"/>
      <c r="J4" s="474"/>
      <c r="K4" s="474"/>
      <c r="L4" s="474"/>
      <c r="M4" s="474"/>
      <c r="N4" s="474"/>
      <c r="O4" s="474"/>
      <c r="P4" s="474"/>
      <c r="Q4" s="474"/>
      <c r="R4" s="474"/>
      <c r="S4" s="474"/>
      <c r="T4" s="474"/>
      <c r="U4" s="474"/>
      <c r="V4" s="474"/>
      <c r="W4" s="446"/>
      <c r="X4" s="446"/>
      <c r="Y4" s="446"/>
      <c r="Z4" s="446"/>
      <c r="AA4" s="446"/>
      <c r="AB4" s="446"/>
      <c r="AC4" s="446"/>
    </row>
    <row r="5" spans="1:29" x14ac:dyDescent="0.2">
      <c r="A5" s="446"/>
      <c r="B5" s="446"/>
      <c r="C5" s="446"/>
      <c r="D5" s="474" t="s">
        <v>208</v>
      </c>
      <c r="E5" s="474"/>
      <c r="F5" s="474"/>
      <c r="G5" s="474"/>
      <c r="H5" s="474"/>
      <c r="I5" s="446"/>
      <c r="J5" s="446"/>
      <c r="K5" s="446"/>
      <c r="L5" s="446"/>
      <c r="M5" s="446"/>
      <c r="N5" s="446"/>
      <c r="O5" s="446"/>
      <c r="P5" s="446"/>
      <c r="Q5" s="446"/>
      <c r="R5" s="446"/>
      <c r="S5" s="446"/>
      <c r="T5" s="446"/>
      <c r="U5" s="446"/>
      <c r="V5" s="446"/>
      <c r="W5" s="446"/>
      <c r="X5" s="446"/>
      <c r="Y5" s="446"/>
      <c r="Z5" s="446"/>
      <c r="AA5" s="446"/>
      <c r="AB5" s="446"/>
      <c r="AC5" s="446"/>
    </row>
    <row r="6" spans="1:29" x14ac:dyDescent="0.2">
      <c r="A6" s="446"/>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row>
    <row r="7" spans="1:29" x14ac:dyDescent="0.2">
      <c r="A7" s="475"/>
      <c r="B7" s="475"/>
      <c r="C7" s="446"/>
      <c r="D7" s="446"/>
      <c r="E7" s="446"/>
      <c r="F7" s="446"/>
      <c r="G7" s="473" t="s">
        <v>81</v>
      </c>
      <c r="H7" s="473" t="str">
        <f>IF(INPUT!C7="","",INPUT!C7)</f>
        <v>Crores</v>
      </c>
      <c r="I7" s="446"/>
      <c r="J7" s="446"/>
      <c r="K7" s="446"/>
      <c r="L7" s="446"/>
      <c r="M7" s="446"/>
      <c r="N7" s="446"/>
      <c r="O7" s="446"/>
      <c r="P7" s="446"/>
      <c r="Q7" s="446"/>
      <c r="R7" s="446"/>
      <c r="S7" s="446"/>
      <c r="T7" s="446"/>
      <c r="U7" s="446"/>
      <c r="V7" s="446"/>
      <c r="W7" s="446"/>
      <c r="X7" s="446"/>
      <c r="Y7" s="446"/>
      <c r="Z7" s="446"/>
      <c r="AA7" s="446"/>
      <c r="AB7" s="446"/>
      <c r="AC7" s="446"/>
    </row>
    <row r="8" spans="1:29" x14ac:dyDescent="0.2">
      <c r="A8" s="446"/>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29" x14ac:dyDescent="0.2">
      <c r="A9" s="446"/>
      <c r="B9" s="446"/>
      <c r="C9" s="453" t="s">
        <v>784</v>
      </c>
      <c r="D9" s="453"/>
      <c r="E9" s="453"/>
      <c r="F9" s="453"/>
      <c r="G9" s="453"/>
      <c r="H9" s="453"/>
      <c r="I9" s="453"/>
      <c r="J9" s="453"/>
      <c r="K9" s="453"/>
      <c r="L9" s="453"/>
      <c r="M9" s="453"/>
      <c r="N9" s="453"/>
      <c r="O9" s="453"/>
      <c r="P9" s="453"/>
      <c r="Q9" s="453"/>
      <c r="R9" s="453"/>
      <c r="S9" s="453"/>
      <c r="T9" s="453"/>
      <c r="U9" s="453"/>
      <c r="V9" s="453"/>
      <c r="W9" s="446"/>
      <c r="X9" s="446"/>
      <c r="Y9" s="446"/>
      <c r="Z9" s="446"/>
      <c r="AA9" s="446"/>
      <c r="AB9" s="446"/>
      <c r="AC9" s="446"/>
    </row>
    <row r="10" spans="1:29" x14ac:dyDescent="0.2">
      <c r="A10" s="446"/>
      <c r="B10" s="476" t="s">
        <v>82</v>
      </c>
      <c r="C10" s="477" t="str">
        <f>INPUT!C9</f>
        <v>MARCH</v>
      </c>
      <c r="D10" s="477" t="str">
        <f>INPUT!D9</f>
        <v>MARCH</v>
      </c>
      <c r="E10" s="477" t="str">
        <f>INPUT!E9</f>
        <v>MARCH</v>
      </c>
      <c r="F10" s="477" t="str">
        <f>INPUT!F9</f>
        <v>MARCH</v>
      </c>
      <c r="G10" s="477" t="str">
        <f>INPUT!G9</f>
        <v>MARCH</v>
      </c>
      <c r="H10" s="477" t="str">
        <f>INPUT!H9</f>
        <v>MARCH</v>
      </c>
      <c r="I10" s="477" t="str">
        <f>INPUT!I9</f>
        <v>MARCH</v>
      </c>
      <c r="J10" s="477" t="str">
        <f>INPUT!J9</f>
        <v>MARCH</v>
      </c>
      <c r="K10" s="477" t="str">
        <f>INPUT!K9</f>
        <v>MARCH</v>
      </c>
      <c r="L10" s="477" t="str">
        <f>INPUT!L9</f>
        <v>MARCH</v>
      </c>
      <c r="M10" s="477" t="str">
        <f>INPUT!M9</f>
        <v>MARCH</v>
      </c>
      <c r="N10" s="477" t="str">
        <f>INPUT!N9</f>
        <v>MARCH</v>
      </c>
      <c r="O10" s="477" t="str">
        <f>INPUT!O9</f>
        <v>MARCH</v>
      </c>
      <c r="P10" s="477" t="str">
        <f>INPUT!P9</f>
        <v>MARCH</v>
      </c>
      <c r="Q10" s="477" t="str">
        <f>INPUT!Q9</f>
        <v>MARCH</v>
      </c>
      <c r="R10" s="477" t="str">
        <f>INPUT!R9</f>
        <v>MARCH</v>
      </c>
      <c r="S10" s="477" t="str">
        <f>INPUT!S9</f>
        <v>MARCH</v>
      </c>
      <c r="T10" s="477" t="str">
        <f>INPUT!T9</f>
        <v>MARCH</v>
      </c>
      <c r="U10" s="477" t="str">
        <f>INPUT!U9</f>
        <v>MARCH</v>
      </c>
      <c r="V10" s="477" t="str">
        <f>INPUT!V9</f>
        <v>MARCH</v>
      </c>
      <c r="W10" s="477">
        <f>INPUT!W9</f>
        <v>0</v>
      </c>
      <c r="X10" s="477">
        <f>INPUT!X9</f>
        <v>0</v>
      </c>
      <c r="Y10" s="477">
        <f>INPUT!Y9</f>
        <v>0</v>
      </c>
      <c r="Z10" s="477">
        <f>INPUT!Z9</f>
        <v>0</v>
      </c>
      <c r="AA10" s="477" t="str">
        <f>INPUT!AA9</f>
        <v>MARCH</v>
      </c>
      <c r="AB10" s="477">
        <f>INPUT!AB9</f>
        <v>0</v>
      </c>
      <c r="AC10" s="446"/>
    </row>
    <row r="11" spans="1:29" x14ac:dyDescent="0.2">
      <c r="A11" s="446"/>
      <c r="B11" s="446"/>
      <c r="C11" s="478">
        <f>INPUT!C10</f>
        <v>2020</v>
      </c>
      <c r="D11" s="478">
        <f>INPUT!D10</f>
        <v>2021</v>
      </c>
      <c r="E11" s="478">
        <f>INPUT!E10</f>
        <v>2022</v>
      </c>
      <c r="F11" s="478">
        <f>INPUT!F10</f>
        <v>2023</v>
      </c>
      <c r="G11" s="478">
        <f>INPUT!G10</f>
        <v>2024</v>
      </c>
      <c r="H11" s="478">
        <f>INPUT!H10</f>
        <v>2025</v>
      </c>
      <c r="I11" s="478">
        <f>INPUT!I10</f>
        <v>2026</v>
      </c>
      <c r="J11" s="478">
        <f>INPUT!J10</f>
        <v>2027</v>
      </c>
      <c r="K11" s="478">
        <f>INPUT!K10</f>
        <v>2028</v>
      </c>
      <c r="L11" s="478">
        <f>INPUT!L10</f>
        <v>2029</v>
      </c>
      <c r="M11" s="478">
        <f>INPUT!M10</f>
        <v>2030</v>
      </c>
      <c r="N11" s="478">
        <f>INPUT!N10</f>
        <v>2031</v>
      </c>
      <c r="O11" s="478">
        <f>INPUT!O10</f>
        <v>2032</v>
      </c>
      <c r="P11" s="478">
        <f>INPUT!P10</f>
        <v>2033</v>
      </c>
      <c r="Q11" s="478">
        <f>INPUT!Q10</f>
        <v>2034</v>
      </c>
      <c r="R11" s="478">
        <f>INPUT!R10</f>
        <v>2035</v>
      </c>
      <c r="S11" s="478">
        <f>INPUT!S10</f>
        <v>2036</v>
      </c>
      <c r="T11" s="478">
        <f>INPUT!T10</f>
        <v>2037</v>
      </c>
      <c r="U11" s="478">
        <f>INPUT!U10</f>
        <v>2038</v>
      </c>
      <c r="V11" s="478">
        <f>INPUT!V10</f>
        <v>2039</v>
      </c>
      <c r="W11" s="478">
        <f>INPUT!W10</f>
        <v>0</v>
      </c>
      <c r="X11" s="478">
        <f>INPUT!X10</f>
        <v>0</v>
      </c>
      <c r="Y11" s="478">
        <f>INPUT!Y10</f>
        <v>0</v>
      </c>
      <c r="Z11" s="478">
        <f>INPUT!Z10</f>
        <v>0</v>
      </c>
      <c r="AA11" s="478" t="str">
        <f>INPUT!AA10</f>
        <v>APRIL</v>
      </c>
      <c r="AB11" s="478">
        <f>INPUT!AB10</f>
        <v>0</v>
      </c>
      <c r="AC11" s="446"/>
    </row>
    <row r="12" spans="1:29" x14ac:dyDescent="0.2">
      <c r="A12" s="474">
        <v>1</v>
      </c>
      <c r="B12" s="474" t="s">
        <v>253</v>
      </c>
      <c r="C12" s="479" t="str">
        <f>INPUT!C11</f>
        <v>AUD.</v>
      </c>
      <c r="D12" s="479" t="str">
        <f>INPUT!D11</f>
        <v>AUD.</v>
      </c>
      <c r="E12" s="479" t="str">
        <f>INPUT!E11</f>
        <v>AUD.</v>
      </c>
      <c r="F12" s="479" t="str">
        <f>INPUT!F11</f>
        <v>EST.</v>
      </c>
      <c r="G12" s="479" t="str">
        <f>INPUT!G11</f>
        <v>PROJ.</v>
      </c>
      <c r="H12" s="479" t="str">
        <f>INPUT!H11</f>
        <v>PROJ.</v>
      </c>
      <c r="I12" s="479" t="str">
        <f>INPUT!I11</f>
        <v>PROJ.</v>
      </c>
      <c r="J12" s="479" t="str">
        <f>INPUT!J11</f>
        <v>PROJ.</v>
      </c>
      <c r="K12" s="479" t="str">
        <f>INPUT!K11</f>
        <v>PROJ.</v>
      </c>
      <c r="L12" s="479" t="str">
        <f>INPUT!L11</f>
        <v>PROJ.</v>
      </c>
      <c r="M12" s="479" t="str">
        <f>INPUT!M11</f>
        <v>PROJ.</v>
      </c>
      <c r="N12" s="479" t="str">
        <f>INPUT!N11</f>
        <v>PROJ.</v>
      </c>
      <c r="O12" s="479" t="str">
        <f>INPUT!O11</f>
        <v>PROJ.</v>
      </c>
      <c r="P12" s="479" t="str">
        <f>INPUT!P11</f>
        <v>PROJ.</v>
      </c>
      <c r="Q12" s="479" t="str">
        <f>INPUT!Q11</f>
        <v>PROJ.</v>
      </c>
      <c r="R12" s="479" t="str">
        <f>INPUT!R11</f>
        <v>PROJ.</v>
      </c>
      <c r="S12" s="479" t="str">
        <f>INPUT!S11</f>
        <v>PROJ.</v>
      </c>
      <c r="T12" s="479" t="str">
        <f>INPUT!T11</f>
        <v>PROJ.</v>
      </c>
      <c r="U12" s="479" t="str">
        <f>INPUT!U11</f>
        <v>PROJ.</v>
      </c>
      <c r="V12" s="479" t="str">
        <f>INPUT!V11</f>
        <v>PROJ.</v>
      </c>
      <c r="W12" s="479">
        <f>INPUT!W11</f>
        <v>0</v>
      </c>
      <c r="X12" s="479">
        <f>INPUT!X11</f>
        <v>0</v>
      </c>
      <c r="Y12" s="479">
        <f>INPUT!Y11</f>
        <v>0</v>
      </c>
      <c r="Z12" s="479">
        <f>INPUT!Z11</f>
        <v>0</v>
      </c>
      <c r="AA12" s="479" t="str">
        <f>INPUT!AA11</f>
        <v>MAY</v>
      </c>
      <c r="AB12" s="479">
        <f>INPUT!AB11</f>
        <v>0</v>
      </c>
      <c r="AC12" s="446"/>
    </row>
    <row r="13" spans="1:29" x14ac:dyDescent="0.2">
      <c r="A13" s="480" t="s">
        <v>254</v>
      </c>
      <c r="B13" s="450" t="s">
        <v>352</v>
      </c>
      <c r="C13" s="188"/>
      <c r="D13" s="183"/>
      <c r="E13" s="183"/>
      <c r="F13" s="190"/>
      <c r="G13" s="188">
        <v>15</v>
      </c>
      <c r="H13" s="188">
        <v>28.28</v>
      </c>
      <c r="I13" s="188">
        <v>33.42</v>
      </c>
      <c r="J13" s="188">
        <v>35.99</v>
      </c>
      <c r="K13" s="188">
        <v>38.56</v>
      </c>
      <c r="L13" s="188">
        <v>41.13</v>
      </c>
      <c r="M13" s="188">
        <v>43.7</v>
      </c>
      <c r="N13" s="188"/>
      <c r="O13" s="188"/>
      <c r="P13" s="188"/>
      <c r="Q13" s="188"/>
      <c r="R13" s="188"/>
      <c r="S13" s="188"/>
      <c r="T13" s="188"/>
      <c r="U13" s="188"/>
      <c r="V13" s="188"/>
      <c r="W13" s="188"/>
      <c r="X13" s="188"/>
      <c r="Y13" s="188"/>
      <c r="Z13" s="188"/>
      <c r="AA13" s="188"/>
      <c r="AB13" s="188"/>
      <c r="AC13" s="446"/>
    </row>
    <row r="14" spans="1:29" x14ac:dyDescent="0.2">
      <c r="A14" s="476" t="s">
        <v>255</v>
      </c>
      <c r="B14" s="446" t="s">
        <v>1083</v>
      </c>
      <c r="C14" s="183">
        <v>0.8</v>
      </c>
      <c r="D14" s="183">
        <v>1.05</v>
      </c>
      <c r="E14" s="183">
        <v>2.2000000000000002</v>
      </c>
      <c r="F14" s="190">
        <v>4</v>
      </c>
      <c r="G14" s="183">
        <v>5</v>
      </c>
      <c r="H14" s="183">
        <v>6</v>
      </c>
      <c r="I14" s="183">
        <v>7</v>
      </c>
      <c r="J14" s="183">
        <v>8.1</v>
      </c>
      <c r="K14" s="183">
        <v>9.4</v>
      </c>
      <c r="L14" s="183">
        <v>10.9</v>
      </c>
      <c r="M14" s="183">
        <v>12.5</v>
      </c>
      <c r="N14" s="183"/>
      <c r="O14" s="183"/>
      <c r="P14" s="183"/>
      <c r="Q14" s="183"/>
      <c r="R14" s="183"/>
      <c r="S14" s="183"/>
      <c r="T14" s="183"/>
      <c r="U14" s="183"/>
      <c r="V14" s="183"/>
      <c r="W14" s="183"/>
      <c r="X14" s="183"/>
      <c r="Y14" s="183"/>
      <c r="Z14" s="183"/>
      <c r="AA14" s="183"/>
      <c r="AB14" s="183"/>
      <c r="AC14" s="446"/>
    </row>
    <row r="15" spans="1:29" x14ac:dyDescent="0.2">
      <c r="A15" s="476" t="s">
        <v>256</v>
      </c>
      <c r="B15" s="187"/>
      <c r="C15" s="183"/>
      <c r="D15" s="183"/>
      <c r="E15" s="183"/>
      <c r="F15" s="190"/>
      <c r="G15" s="183"/>
      <c r="H15" s="183"/>
      <c r="I15" s="183"/>
      <c r="J15" s="183"/>
      <c r="K15" s="183"/>
      <c r="L15" s="183"/>
      <c r="M15" s="183"/>
      <c r="N15" s="183"/>
      <c r="O15" s="183"/>
      <c r="P15" s="183"/>
      <c r="Q15" s="183"/>
      <c r="R15" s="183"/>
      <c r="S15" s="183"/>
      <c r="T15" s="183"/>
      <c r="U15" s="183"/>
      <c r="V15" s="183"/>
      <c r="W15" s="183"/>
      <c r="X15" s="183"/>
      <c r="Y15" s="183"/>
      <c r="Z15" s="183"/>
      <c r="AA15" s="183"/>
      <c r="AB15" s="183"/>
      <c r="AC15" s="446"/>
    </row>
    <row r="16" spans="1:29" x14ac:dyDescent="0.2">
      <c r="A16" s="476" t="s">
        <v>257</v>
      </c>
      <c r="B16" s="187"/>
      <c r="C16" s="183"/>
      <c r="D16" s="183"/>
      <c r="E16" s="183"/>
      <c r="F16" s="190"/>
      <c r="G16" s="186"/>
      <c r="H16" s="186"/>
      <c r="I16" s="186"/>
      <c r="J16" s="186"/>
      <c r="K16" s="186"/>
      <c r="L16" s="183"/>
      <c r="M16" s="183"/>
      <c r="N16" s="183"/>
      <c r="O16" s="183"/>
      <c r="P16" s="183"/>
      <c r="Q16" s="183"/>
      <c r="R16" s="183"/>
      <c r="S16" s="183"/>
      <c r="T16" s="183"/>
      <c r="U16" s="183"/>
      <c r="V16" s="183"/>
      <c r="W16" s="183"/>
      <c r="X16" s="183"/>
      <c r="Y16" s="183"/>
      <c r="Z16" s="183"/>
      <c r="AA16" s="183"/>
      <c r="AB16" s="183"/>
      <c r="AC16" s="446"/>
    </row>
    <row r="17" spans="1:30" x14ac:dyDescent="0.2">
      <c r="A17" s="481"/>
      <c r="B17" s="482" t="s">
        <v>258</v>
      </c>
      <c r="C17" s="483">
        <f>SUM(C13:C16)</f>
        <v>0.8</v>
      </c>
      <c r="D17" s="483">
        <f t="shared" ref="D17:P17" si="0">SUM(D13:D16)</f>
        <v>1.05</v>
      </c>
      <c r="E17" s="483">
        <f t="shared" si="0"/>
        <v>2.2000000000000002</v>
      </c>
      <c r="F17" s="483">
        <f t="shared" si="0"/>
        <v>4</v>
      </c>
      <c r="G17" s="483">
        <f t="shared" si="0"/>
        <v>20</v>
      </c>
      <c r="H17" s="483">
        <f t="shared" si="0"/>
        <v>34.28</v>
      </c>
      <c r="I17" s="483">
        <f t="shared" si="0"/>
        <v>40.42</v>
      </c>
      <c r="J17" s="483">
        <f t="shared" si="0"/>
        <v>44.09</v>
      </c>
      <c r="K17" s="483">
        <f t="shared" si="0"/>
        <v>47.96</v>
      </c>
      <c r="L17" s="483">
        <f t="shared" si="0"/>
        <v>52.03</v>
      </c>
      <c r="M17" s="483">
        <f t="shared" si="0"/>
        <v>56.2</v>
      </c>
      <c r="N17" s="483">
        <f t="shared" si="0"/>
        <v>0</v>
      </c>
      <c r="O17" s="483">
        <f t="shared" si="0"/>
        <v>0</v>
      </c>
      <c r="P17" s="483">
        <f t="shared" si="0"/>
        <v>0</v>
      </c>
      <c r="Q17" s="483">
        <f t="shared" ref="Q17:V17" si="1">SUM(Q13:Q16)</f>
        <v>0</v>
      </c>
      <c r="R17" s="483">
        <f t="shared" si="1"/>
        <v>0</v>
      </c>
      <c r="S17" s="483">
        <f t="shared" si="1"/>
        <v>0</v>
      </c>
      <c r="T17" s="483">
        <f t="shared" si="1"/>
        <v>0</v>
      </c>
      <c r="U17" s="483">
        <f t="shared" si="1"/>
        <v>0</v>
      </c>
      <c r="V17" s="483">
        <f t="shared" si="1"/>
        <v>0</v>
      </c>
      <c r="W17" s="483">
        <f t="shared" ref="W17:AB17" si="2">SUM(W13:W16)</f>
        <v>0</v>
      </c>
      <c r="X17" s="483">
        <f t="shared" si="2"/>
        <v>0</v>
      </c>
      <c r="Y17" s="483">
        <f t="shared" si="2"/>
        <v>0</v>
      </c>
      <c r="Z17" s="483">
        <f t="shared" si="2"/>
        <v>0</v>
      </c>
      <c r="AA17" s="483">
        <f t="shared" si="2"/>
        <v>0</v>
      </c>
      <c r="AB17" s="483">
        <f t="shared" si="2"/>
        <v>0</v>
      </c>
      <c r="AC17" s="446"/>
    </row>
    <row r="18" spans="1:30" x14ac:dyDescent="0.2">
      <c r="A18" s="446"/>
      <c r="B18" s="481"/>
      <c r="C18" s="484"/>
      <c r="D18" s="484"/>
      <c r="E18" s="484"/>
      <c r="F18" s="484"/>
      <c r="G18" s="484"/>
      <c r="H18" s="485"/>
      <c r="I18" s="484"/>
      <c r="J18" s="484"/>
      <c r="K18" s="484"/>
      <c r="L18" s="484"/>
      <c r="M18" s="484"/>
      <c r="N18" s="484"/>
      <c r="O18" s="484"/>
      <c r="P18" s="484"/>
      <c r="Q18" s="484"/>
      <c r="R18" s="484"/>
      <c r="S18" s="484"/>
      <c r="T18" s="484"/>
      <c r="U18" s="484"/>
      <c r="V18" s="484"/>
      <c r="W18" s="446"/>
      <c r="X18" s="446"/>
      <c r="Y18" s="446"/>
      <c r="Z18" s="446"/>
      <c r="AA18" s="446"/>
      <c r="AB18" s="446"/>
      <c r="AC18" s="446"/>
    </row>
    <row r="19" spans="1:30" x14ac:dyDescent="0.2">
      <c r="A19" s="474">
        <v>2</v>
      </c>
      <c r="B19" s="474" t="s">
        <v>259</v>
      </c>
      <c r="C19" s="188"/>
      <c r="D19" s="188"/>
      <c r="E19" s="188"/>
      <c r="F19" s="188"/>
      <c r="G19" s="188"/>
      <c r="H19" s="188"/>
      <c r="I19" s="188"/>
      <c r="J19" s="188"/>
      <c r="K19" s="188"/>
      <c r="L19" s="188"/>
      <c r="M19" s="188"/>
      <c r="N19" s="188"/>
      <c r="O19" s="188"/>
      <c r="P19" s="188"/>
      <c r="Q19" s="188"/>
      <c r="R19" s="188"/>
      <c r="S19" s="188"/>
      <c r="T19" s="188"/>
      <c r="U19" s="188"/>
      <c r="V19" s="188"/>
      <c r="W19" s="446"/>
      <c r="X19" s="446"/>
      <c r="Y19" s="446"/>
      <c r="Z19" s="446"/>
      <c r="AA19" s="446"/>
      <c r="AB19" s="446"/>
      <c r="AC19" s="446"/>
    </row>
    <row r="20" spans="1:30" x14ac:dyDescent="0.2">
      <c r="A20" s="446"/>
      <c r="B20" s="187"/>
      <c r="C20" s="183"/>
      <c r="D20" s="183"/>
      <c r="E20" s="183"/>
      <c r="F20" s="183"/>
      <c r="G20" s="183"/>
      <c r="H20" s="183"/>
      <c r="I20" s="183"/>
      <c r="J20" s="183"/>
      <c r="K20" s="183"/>
      <c r="L20" s="183"/>
      <c r="M20" s="183"/>
      <c r="N20" s="183"/>
      <c r="O20" s="183"/>
      <c r="P20" s="183"/>
      <c r="Q20" s="183"/>
      <c r="R20" s="183"/>
      <c r="S20" s="183"/>
      <c r="T20" s="183"/>
      <c r="U20" s="183"/>
      <c r="V20" s="183"/>
      <c r="W20" s="446"/>
      <c r="X20" s="446"/>
      <c r="Y20" s="446"/>
      <c r="Z20" s="446"/>
      <c r="AA20" s="446"/>
      <c r="AB20" s="446"/>
      <c r="AC20" s="446"/>
    </row>
    <row r="21" spans="1:30" x14ac:dyDescent="0.2">
      <c r="A21" s="486"/>
      <c r="B21" s="486" t="s">
        <v>258</v>
      </c>
      <c r="C21" s="487">
        <f>SUM(C19:C20)</f>
        <v>0</v>
      </c>
      <c r="D21" s="487">
        <f t="shared" ref="D21:P21" si="3">SUM(D19:D20)</f>
        <v>0</v>
      </c>
      <c r="E21" s="487">
        <f t="shared" si="3"/>
        <v>0</v>
      </c>
      <c r="F21" s="487">
        <f t="shared" si="3"/>
        <v>0</v>
      </c>
      <c r="G21" s="487">
        <f t="shared" si="3"/>
        <v>0</v>
      </c>
      <c r="H21" s="487">
        <f t="shared" si="3"/>
        <v>0</v>
      </c>
      <c r="I21" s="487">
        <f t="shared" si="3"/>
        <v>0</v>
      </c>
      <c r="J21" s="487">
        <f t="shared" si="3"/>
        <v>0</v>
      </c>
      <c r="K21" s="487">
        <f t="shared" si="3"/>
        <v>0</v>
      </c>
      <c r="L21" s="487">
        <f t="shared" si="3"/>
        <v>0</v>
      </c>
      <c r="M21" s="487">
        <f t="shared" si="3"/>
        <v>0</v>
      </c>
      <c r="N21" s="487">
        <f t="shared" si="3"/>
        <v>0</v>
      </c>
      <c r="O21" s="487">
        <f t="shared" si="3"/>
        <v>0</v>
      </c>
      <c r="P21" s="487">
        <f t="shared" si="3"/>
        <v>0</v>
      </c>
      <c r="Q21" s="487">
        <f t="shared" ref="Q21:V21" si="4">SUM(Q19:Q20)</f>
        <v>0</v>
      </c>
      <c r="R21" s="487">
        <f t="shared" si="4"/>
        <v>0</v>
      </c>
      <c r="S21" s="487">
        <f t="shared" si="4"/>
        <v>0</v>
      </c>
      <c r="T21" s="487">
        <f t="shared" si="4"/>
        <v>0</v>
      </c>
      <c r="U21" s="487">
        <f t="shared" si="4"/>
        <v>0</v>
      </c>
      <c r="V21" s="487">
        <f t="shared" si="4"/>
        <v>0</v>
      </c>
      <c r="W21" s="446"/>
      <c r="X21" s="446"/>
      <c r="Y21" s="446"/>
      <c r="Z21" s="446"/>
      <c r="AA21" s="446"/>
      <c r="AB21" s="446"/>
      <c r="AC21" s="446"/>
    </row>
    <row r="22" spans="1:30" x14ac:dyDescent="0.2">
      <c r="A22" s="446"/>
      <c r="B22" s="488"/>
      <c r="C22" s="489"/>
      <c r="D22" s="489"/>
      <c r="E22" s="490"/>
      <c r="F22" s="490"/>
      <c r="G22" s="490"/>
      <c r="H22" s="491"/>
      <c r="I22" s="489"/>
      <c r="J22" s="489"/>
      <c r="K22" s="489"/>
      <c r="L22" s="489"/>
      <c r="M22" s="489"/>
      <c r="N22" s="489"/>
      <c r="O22" s="489"/>
      <c r="P22" s="489"/>
      <c r="Q22" s="489"/>
      <c r="R22" s="489"/>
      <c r="S22" s="489"/>
      <c r="T22" s="489"/>
      <c r="U22" s="489"/>
      <c r="V22" s="489"/>
      <c r="W22" s="446"/>
      <c r="X22" s="446"/>
      <c r="Y22" s="446"/>
      <c r="Z22" s="446"/>
      <c r="AA22" s="446"/>
      <c r="AB22" s="446"/>
      <c r="AC22" s="446"/>
    </row>
    <row r="23" spans="1:30" s="494" customFormat="1" x14ac:dyDescent="0.2">
      <c r="A23" s="492">
        <v>3</v>
      </c>
      <c r="B23" s="474" t="s">
        <v>260</v>
      </c>
      <c r="C23" s="484">
        <f>C17-C21</f>
        <v>0.8</v>
      </c>
      <c r="D23" s="484">
        <f t="shared" ref="D23:P23" si="5">D17-D21</f>
        <v>1.05</v>
      </c>
      <c r="E23" s="484">
        <f t="shared" si="5"/>
        <v>2.2000000000000002</v>
      </c>
      <c r="F23" s="484">
        <f t="shared" si="5"/>
        <v>4</v>
      </c>
      <c r="G23" s="484">
        <f t="shared" si="5"/>
        <v>20</v>
      </c>
      <c r="H23" s="484">
        <f t="shared" si="5"/>
        <v>34.28</v>
      </c>
      <c r="I23" s="484">
        <f t="shared" si="5"/>
        <v>40.42</v>
      </c>
      <c r="J23" s="484">
        <f t="shared" si="5"/>
        <v>44.09</v>
      </c>
      <c r="K23" s="484">
        <f t="shared" si="5"/>
        <v>47.96</v>
      </c>
      <c r="L23" s="484">
        <f t="shared" si="5"/>
        <v>52.03</v>
      </c>
      <c r="M23" s="484">
        <f t="shared" si="5"/>
        <v>56.2</v>
      </c>
      <c r="N23" s="484">
        <f t="shared" si="5"/>
        <v>0</v>
      </c>
      <c r="O23" s="484">
        <f t="shared" si="5"/>
        <v>0</v>
      </c>
      <c r="P23" s="484">
        <f t="shared" si="5"/>
        <v>0</v>
      </c>
      <c r="Q23" s="484">
        <f t="shared" ref="Q23:V23" si="6">Q17-Q21</f>
        <v>0</v>
      </c>
      <c r="R23" s="484">
        <f t="shared" si="6"/>
        <v>0</v>
      </c>
      <c r="S23" s="484">
        <f t="shared" si="6"/>
        <v>0</v>
      </c>
      <c r="T23" s="484">
        <f t="shared" si="6"/>
        <v>0</v>
      </c>
      <c r="U23" s="484">
        <f t="shared" si="6"/>
        <v>0</v>
      </c>
      <c r="V23" s="484">
        <f t="shared" si="6"/>
        <v>0</v>
      </c>
      <c r="W23" s="493"/>
      <c r="X23" s="493"/>
      <c r="Y23" s="493"/>
      <c r="Z23" s="493"/>
      <c r="AA23" s="493"/>
      <c r="AB23" s="493"/>
      <c r="AC23" s="493"/>
      <c r="AD23" s="418"/>
    </row>
    <row r="24" spans="1:30" x14ac:dyDescent="0.2">
      <c r="A24" s="446"/>
      <c r="B24" s="446"/>
      <c r="C24" s="495"/>
      <c r="D24" s="496"/>
      <c r="E24" s="496"/>
      <c r="F24" s="496"/>
      <c r="G24" s="496"/>
      <c r="H24" s="496"/>
      <c r="I24" s="496"/>
      <c r="J24" s="496"/>
      <c r="K24" s="496"/>
      <c r="L24" s="496"/>
      <c r="M24" s="496"/>
      <c r="N24" s="496"/>
      <c r="O24" s="496"/>
      <c r="P24" s="496"/>
      <c r="Q24" s="496"/>
      <c r="R24" s="496"/>
      <c r="S24" s="496"/>
      <c r="T24" s="496"/>
      <c r="U24" s="496"/>
      <c r="V24" s="496"/>
      <c r="W24" s="446"/>
      <c r="X24" s="446"/>
      <c r="Y24" s="446"/>
      <c r="Z24" s="446"/>
      <c r="AA24" s="446"/>
      <c r="AB24" s="446"/>
      <c r="AC24" s="446"/>
    </row>
    <row r="25" spans="1:30" x14ac:dyDescent="0.2">
      <c r="A25" s="492">
        <v>4</v>
      </c>
      <c r="B25" s="446" t="s">
        <v>261</v>
      </c>
      <c r="C25" s="497"/>
      <c r="D25" s="498">
        <f>IF(ISERROR((D23-C23)/C23),"",IF((D23-C23)/C23=0,"",(D23-C23)/C23))</f>
        <v>0.3125</v>
      </c>
      <c r="E25" s="498">
        <f t="shared" ref="E25:P25" si="7">IF(ISERROR((E23-D23)/D23),"",IF((E23-D23)/D23=0,"",(E23-D23)/D23))</f>
        <v>1.0952380952380953</v>
      </c>
      <c r="F25" s="498">
        <f t="shared" si="7"/>
        <v>0.81818181818181801</v>
      </c>
      <c r="G25" s="498">
        <f t="shared" si="7"/>
        <v>4</v>
      </c>
      <c r="H25" s="498">
        <f t="shared" si="7"/>
        <v>0.71400000000000008</v>
      </c>
      <c r="I25" s="498">
        <f t="shared" si="7"/>
        <v>0.17911318553092184</v>
      </c>
      <c r="J25" s="498">
        <f t="shared" si="7"/>
        <v>9.079663532904507E-2</v>
      </c>
      <c r="K25" s="498">
        <f t="shared" si="7"/>
        <v>8.7775005670219938E-2</v>
      </c>
      <c r="L25" s="498">
        <f t="shared" si="7"/>
        <v>8.4862385321100922E-2</v>
      </c>
      <c r="M25" s="498">
        <f t="shared" si="7"/>
        <v>8.0146069575245088E-2</v>
      </c>
      <c r="N25" s="498">
        <f t="shared" si="7"/>
        <v>-1</v>
      </c>
      <c r="O25" s="498" t="str">
        <f t="shared" si="7"/>
        <v/>
      </c>
      <c r="P25" s="498" t="str">
        <f t="shared" si="7"/>
        <v/>
      </c>
      <c r="Q25" s="498" t="str">
        <f t="shared" ref="Q25:V25" si="8">IF(ISERROR((Q23-P23)/P23),"",IF((Q23-P23)/P23=0,"",(Q23-P23)/P23))</f>
        <v/>
      </c>
      <c r="R25" s="498" t="str">
        <f t="shared" si="8"/>
        <v/>
      </c>
      <c r="S25" s="498" t="str">
        <f t="shared" si="8"/>
        <v/>
      </c>
      <c r="T25" s="498" t="str">
        <f t="shared" si="8"/>
        <v/>
      </c>
      <c r="U25" s="498" t="str">
        <f t="shared" si="8"/>
        <v/>
      </c>
      <c r="V25" s="498" t="str">
        <f t="shared" si="8"/>
        <v/>
      </c>
      <c r="W25" s="446"/>
      <c r="X25" s="446"/>
      <c r="Y25" s="446"/>
      <c r="Z25" s="446"/>
      <c r="AA25" s="446"/>
      <c r="AB25" s="446"/>
      <c r="AC25" s="446"/>
    </row>
    <row r="26" spans="1:30" x14ac:dyDescent="0.2">
      <c r="A26" s="446"/>
      <c r="B26" s="446" t="s">
        <v>138</v>
      </c>
      <c r="C26" s="497"/>
      <c r="D26" s="497"/>
      <c r="E26" s="497"/>
      <c r="F26" s="497"/>
      <c r="G26" s="497"/>
      <c r="H26" s="497"/>
      <c r="I26" s="497"/>
      <c r="J26" s="497"/>
      <c r="K26" s="497"/>
      <c r="L26" s="497"/>
      <c r="M26" s="497"/>
      <c r="N26" s="497"/>
      <c r="O26" s="497"/>
      <c r="P26" s="497"/>
      <c r="Q26" s="497"/>
      <c r="R26" s="497"/>
      <c r="S26" s="497"/>
      <c r="T26" s="497"/>
      <c r="U26" s="497"/>
      <c r="V26" s="497"/>
      <c r="W26" s="446"/>
      <c r="X26" s="446"/>
      <c r="Y26" s="446"/>
      <c r="Z26" s="446"/>
      <c r="AA26" s="446"/>
      <c r="AB26" s="446"/>
      <c r="AC26" s="446"/>
    </row>
    <row r="27" spans="1:30" x14ac:dyDescent="0.2">
      <c r="A27" s="446"/>
      <c r="B27" s="446"/>
      <c r="C27" s="497"/>
      <c r="D27" s="497"/>
      <c r="E27" s="497"/>
      <c r="F27" s="497"/>
      <c r="G27" s="497"/>
      <c r="H27" s="497"/>
      <c r="I27" s="497"/>
      <c r="J27" s="497"/>
      <c r="K27" s="497"/>
      <c r="L27" s="497"/>
      <c r="M27" s="497"/>
      <c r="N27" s="497"/>
      <c r="O27" s="497"/>
      <c r="P27" s="497"/>
      <c r="Q27" s="497"/>
      <c r="R27" s="497"/>
      <c r="S27" s="497"/>
      <c r="T27" s="497"/>
      <c r="U27" s="497"/>
      <c r="V27" s="497"/>
      <c r="W27" s="446"/>
      <c r="X27" s="446"/>
      <c r="Y27" s="446"/>
      <c r="Z27" s="446"/>
      <c r="AA27" s="446"/>
      <c r="AB27" s="446"/>
      <c r="AC27" s="446"/>
    </row>
    <row r="28" spans="1:30" x14ac:dyDescent="0.2">
      <c r="A28" s="474">
        <v>5</v>
      </c>
      <c r="B28" s="474" t="s">
        <v>209</v>
      </c>
      <c r="C28" s="497"/>
      <c r="D28" s="497"/>
      <c r="E28" s="497"/>
      <c r="F28" s="497"/>
      <c r="G28" s="497"/>
      <c r="H28" s="497"/>
      <c r="I28" s="497"/>
      <c r="J28" s="497"/>
      <c r="K28" s="497"/>
      <c r="L28" s="497"/>
      <c r="M28" s="497"/>
      <c r="N28" s="497"/>
      <c r="O28" s="497"/>
      <c r="P28" s="497"/>
      <c r="Q28" s="497"/>
      <c r="R28" s="497"/>
      <c r="S28" s="497"/>
      <c r="T28" s="497"/>
      <c r="U28" s="497"/>
      <c r="V28" s="497"/>
      <c r="W28" s="420">
        <v>167.37</v>
      </c>
      <c r="X28" s="420">
        <v>293.14999999999998</v>
      </c>
      <c r="Y28" s="420">
        <v>353.13</v>
      </c>
      <c r="Z28" s="420">
        <v>394.38</v>
      </c>
      <c r="AA28" s="420">
        <v>441.92</v>
      </c>
      <c r="AB28" s="420">
        <v>497</v>
      </c>
      <c r="AC28" s="446"/>
    </row>
    <row r="29" spans="1:30" x14ac:dyDescent="0.2">
      <c r="A29" s="480" t="s">
        <v>254</v>
      </c>
      <c r="B29" s="450" t="s">
        <v>278</v>
      </c>
      <c r="C29" s="497"/>
      <c r="D29" s="497"/>
      <c r="E29" s="497"/>
      <c r="F29" s="497"/>
      <c r="G29" s="497"/>
      <c r="H29" s="497"/>
      <c r="I29" s="497"/>
      <c r="J29" s="497"/>
      <c r="K29" s="497"/>
      <c r="L29" s="497"/>
      <c r="M29" s="497"/>
      <c r="N29" s="497"/>
      <c r="O29" s="497"/>
      <c r="P29" s="497"/>
      <c r="Q29" s="497"/>
      <c r="R29" s="497"/>
      <c r="S29" s="497"/>
      <c r="T29" s="497"/>
      <c r="U29" s="497"/>
      <c r="V29" s="497"/>
      <c r="W29" s="446"/>
      <c r="X29" s="446"/>
      <c r="Y29" s="446"/>
      <c r="Z29" s="446"/>
      <c r="AA29" s="446"/>
      <c r="AB29" s="446"/>
      <c r="AC29" s="446"/>
    </row>
    <row r="30" spans="1:30" x14ac:dyDescent="0.2">
      <c r="A30" s="446"/>
      <c r="B30" s="450" t="s">
        <v>279</v>
      </c>
      <c r="C30" s="497"/>
      <c r="D30" s="497"/>
      <c r="E30" s="497"/>
      <c r="F30" s="497"/>
      <c r="G30" s="497"/>
      <c r="H30" s="497"/>
      <c r="I30" s="497"/>
      <c r="J30" s="497"/>
      <c r="K30" s="497"/>
      <c r="L30" s="497"/>
      <c r="M30" s="497"/>
      <c r="N30" s="497"/>
      <c r="O30" s="497"/>
      <c r="P30" s="497"/>
      <c r="Q30" s="497"/>
      <c r="R30" s="497"/>
      <c r="S30" s="497"/>
      <c r="T30" s="497"/>
      <c r="U30" s="497"/>
      <c r="V30" s="497"/>
      <c r="W30" s="446"/>
      <c r="X30" s="446"/>
      <c r="Y30" s="446"/>
      <c r="Z30" s="446"/>
      <c r="AA30" s="446"/>
      <c r="AB30" s="446"/>
      <c r="AC30" s="446"/>
    </row>
    <row r="31" spans="1:30" x14ac:dyDescent="0.2">
      <c r="A31" s="446"/>
      <c r="B31" s="446" t="s">
        <v>280</v>
      </c>
      <c r="C31" s="497"/>
      <c r="D31" s="497"/>
      <c r="E31" s="497"/>
      <c r="F31" s="497"/>
      <c r="G31" s="497"/>
      <c r="H31" s="497"/>
      <c r="I31" s="497"/>
      <c r="J31" s="497"/>
      <c r="K31" s="497"/>
      <c r="L31" s="497"/>
      <c r="M31" s="497"/>
      <c r="N31" s="497"/>
      <c r="O31" s="497"/>
      <c r="P31" s="497"/>
      <c r="Q31" s="497"/>
      <c r="R31" s="497"/>
      <c r="S31" s="497"/>
      <c r="T31" s="497"/>
      <c r="U31" s="497"/>
      <c r="V31" s="497"/>
      <c r="W31" s="446"/>
      <c r="X31" s="446"/>
      <c r="Y31" s="446"/>
      <c r="Z31" s="446"/>
      <c r="AA31" s="446"/>
      <c r="AB31" s="446"/>
      <c r="AC31" s="446"/>
    </row>
    <row r="32" spans="1:30" x14ac:dyDescent="0.2">
      <c r="A32" s="446"/>
      <c r="B32" s="446" t="s">
        <v>281</v>
      </c>
      <c r="C32" s="183"/>
      <c r="D32" s="183"/>
      <c r="E32" s="183"/>
      <c r="F32" s="183"/>
      <c r="G32" s="183"/>
      <c r="H32" s="183"/>
      <c r="I32" s="183"/>
      <c r="J32" s="183"/>
      <c r="K32" s="183"/>
      <c r="L32" s="183"/>
      <c r="M32" s="183"/>
      <c r="N32" s="183"/>
      <c r="O32" s="183"/>
      <c r="P32" s="183"/>
      <c r="Q32" s="183"/>
      <c r="R32" s="183"/>
      <c r="S32" s="183"/>
      <c r="T32" s="183"/>
      <c r="U32" s="183"/>
      <c r="V32" s="183"/>
      <c r="W32" s="499">
        <v>0</v>
      </c>
      <c r="X32" s="499">
        <v>0</v>
      </c>
      <c r="Y32" s="446"/>
      <c r="Z32" s="446"/>
      <c r="AA32" s="446"/>
      <c r="AB32" s="446"/>
      <c r="AC32" s="446"/>
    </row>
    <row r="33" spans="1:29" x14ac:dyDescent="0.2">
      <c r="A33" s="446"/>
      <c r="B33" s="446" t="s">
        <v>282</v>
      </c>
      <c r="C33" s="183"/>
      <c r="D33" s="183"/>
      <c r="E33" s="183"/>
      <c r="F33" s="183"/>
      <c r="G33" s="183">
        <v>8.5399999999999991</v>
      </c>
      <c r="H33" s="183">
        <v>13.93</v>
      </c>
      <c r="I33" s="183">
        <v>18.25</v>
      </c>
      <c r="J33" s="183">
        <v>19.399999999999999</v>
      </c>
      <c r="K33" s="183">
        <v>21.5</v>
      </c>
      <c r="L33" s="183">
        <v>23.3</v>
      </c>
      <c r="M33" s="183">
        <v>25</v>
      </c>
      <c r="N33" s="183"/>
      <c r="O33" s="183"/>
      <c r="P33" s="183"/>
      <c r="Q33" s="183"/>
      <c r="R33" s="183"/>
      <c r="S33" s="183"/>
      <c r="T33" s="183"/>
      <c r="U33" s="183"/>
      <c r="V33" s="183"/>
      <c r="W33" s="499">
        <v>0</v>
      </c>
      <c r="X33" s="499">
        <v>0</v>
      </c>
      <c r="Y33" s="499">
        <v>0</v>
      </c>
      <c r="Z33" s="499">
        <v>0</v>
      </c>
      <c r="AA33" s="499">
        <v>0</v>
      </c>
      <c r="AB33" s="499">
        <v>0</v>
      </c>
      <c r="AC33" s="499" t="s">
        <v>360</v>
      </c>
    </row>
    <row r="34" spans="1:29" x14ac:dyDescent="0.2">
      <c r="A34" s="446"/>
      <c r="B34" s="446"/>
      <c r="C34" s="500">
        <f>SUM(C32:C33)</f>
        <v>0</v>
      </c>
      <c r="D34" s="500">
        <f t="shared" ref="D34:P34" si="9">SUM(D32:D33)</f>
        <v>0</v>
      </c>
      <c r="E34" s="500">
        <f t="shared" si="9"/>
        <v>0</v>
      </c>
      <c r="F34" s="500">
        <f t="shared" si="9"/>
        <v>0</v>
      </c>
      <c r="G34" s="500">
        <f t="shared" si="9"/>
        <v>8.5399999999999991</v>
      </c>
      <c r="H34" s="500">
        <f t="shared" si="9"/>
        <v>13.93</v>
      </c>
      <c r="I34" s="500">
        <f t="shared" si="9"/>
        <v>18.25</v>
      </c>
      <c r="J34" s="500">
        <f t="shared" si="9"/>
        <v>19.399999999999999</v>
      </c>
      <c r="K34" s="500">
        <f t="shared" si="9"/>
        <v>21.5</v>
      </c>
      <c r="L34" s="500">
        <f t="shared" si="9"/>
        <v>23.3</v>
      </c>
      <c r="M34" s="500">
        <f t="shared" si="9"/>
        <v>25</v>
      </c>
      <c r="N34" s="500">
        <f t="shared" si="9"/>
        <v>0</v>
      </c>
      <c r="O34" s="500">
        <f t="shared" si="9"/>
        <v>0</v>
      </c>
      <c r="P34" s="500">
        <f t="shared" si="9"/>
        <v>0</v>
      </c>
      <c r="Q34" s="500">
        <f t="shared" ref="Q34:V34" si="10">SUM(Q32:Q33)</f>
        <v>0</v>
      </c>
      <c r="R34" s="500">
        <f t="shared" si="10"/>
        <v>0</v>
      </c>
      <c r="S34" s="500">
        <f t="shared" si="10"/>
        <v>0</v>
      </c>
      <c r="T34" s="500">
        <f t="shared" si="10"/>
        <v>0</v>
      </c>
      <c r="U34" s="500">
        <f t="shared" si="10"/>
        <v>0</v>
      </c>
      <c r="V34" s="500">
        <f t="shared" si="10"/>
        <v>0</v>
      </c>
      <c r="W34" s="499">
        <v>0</v>
      </c>
      <c r="X34" s="499">
        <v>0</v>
      </c>
      <c r="Y34" s="499">
        <v>0</v>
      </c>
      <c r="Z34" s="499">
        <v>0</v>
      </c>
      <c r="AA34" s="499">
        <v>0</v>
      </c>
      <c r="AB34" s="499">
        <v>0</v>
      </c>
      <c r="AC34" s="499" t="s">
        <v>360</v>
      </c>
    </row>
    <row r="35" spans="1:29" x14ac:dyDescent="0.2">
      <c r="A35" s="476" t="s">
        <v>255</v>
      </c>
      <c r="B35" s="446" t="s">
        <v>283</v>
      </c>
      <c r="C35" s="501"/>
      <c r="D35" s="502"/>
      <c r="E35" s="502"/>
      <c r="F35" s="502"/>
      <c r="G35" s="502"/>
      <c r="H35" s="502"/>
      <c r="I35" s="502"/>
      <c r="J35" s="502"/>
      <c r="K35" s="502"/>
      <c r="L35" s="502"/>
      <c r="M35" s="502"/>
      <c r="N35" s="502"/>
      <c r="O35" s="502"/>
      <c r="P35" s="502"/>
      <c r="Q35" s="502"/>
      <c r="R35" s="502"/>
      <c r="S35" s="502"/>
      <c r="T35" s="502"/>
      <c r="U35" s="502"/>
      <c r="V35" s="502"/>
      <c r="W35" s="446"/>
      <c r="X35" s="446"/>
      <c r="Y35" s="446"/>
      <c r="Z35" s="446"/>
      <c r="AA35" s="446"/>
      <c r="AB35" s="446"/>
      <c r="AC35" s="446"/>
    </row>
    <row r="36" spans="1:29" x14ac:dyDescent="0.2">
      <c r="A36" s="446"/>
      <c r="B36" s="446" t="s">
        <v>281</v>
      </c>
      <c r="C36" s="183"/>
      <c r="D36" s="183"/>
      <c r="E36" s="183"/>
      <c r="F36" s="183"/>
      <c r="G36" s="183"/>
      <c r="H36" s="183"/>
      <c r="I36" s="183"/>
      <c r="J36" s="183"/>
      <c r="K36" s="183"/>
      <c r="L36" s="183"/>
      <c r="M36" s="183"/>
      <c r="N36" s="183"/>
      <c r="O36" s="183"/>
      <c r="P36" s="183"/>
      <c r="Q36" s="183"/>
      <c r="R36" s="183"/>
      <c r="S36" s="183"/>
      <c r="T36" s="183"/>
      <c r="U36" s="183"/>
      <c r="V36" s="183"/>
      <c r="W36" s="499">
        <v>0</v>
      </c>
      <c r="X36" s="499">
        <v>0</v>
      </c>
      <c r="Y36" s="446"/>
      <c r="Z36" s="446"/>
      <c r="AA36" s="446"/>
      <c r="AB36" s="446"/>
      <c r="AC36" s="446"/>
    </row>
    <row r="37" spans="1:29" x14ac:dyDescent="0.2">
      <c r="A37" s="446"/>
      <c r="B37" s="446" t="s">
        <v>282</v>
      </c>
      <c r="C37" s="183"/>
      <c r="D37" s="183"/>
      <c r="E37" s="183"/>
      <c r="F37" s="183"/>
      <c r="G37" s="183"/>
      <c r="H37" s="183"/>
      <c r="I37" s="183"/>
      <c r="J37" s="183"/>
      <c r="K37" s="183"/>
      <c r="L37" s="183"/>
      <c r="M37" s="183"/>
      <c r="N37" s="183"/>
      <c r="O37" s="183"/>
      <c r="P37" s="183"/>
      <c r="Q37" s="183"/>
      <c r="R37" s="183"/>
      <c r="S37" s="183"/>
      <c r="T37" s="183"/>
      <c r="U37" s="183"/>
      <c r="V37" s="183"/>
      <c r="W37" s="499">
        <v>0</v>
      </c>
      <c r="X37" s="499">
        <v>0</v>
      </c>
      <c r="Y37" s="446"/>
      <c r="Z37" s="446"/>
      <c r="AA37" s="446"/>
      <c r="AB37" s="446"/>
      <c r="AC37" s="446"/>
    </row>
    <row r="38" spans="1:29" x14ac:dyDescent="0.2">
      <c r="A38" s="446"/>
      <c r="B38" s="446"/>
      <c r="C38" s="500">
        <f>SUM(C36:C37)</f>
        <v>0</v>
      </c>
      <c r="D38" s="500">
        <f t="shared" ref="D38:P38" si="11">SUM(D36:D37)</f>
        <v>0</v>
      </c>
      <c r="E38" s="500">
        <f t="shared" si="11"/>
        <v>0</v>
      </c>
      <c r="F38" s="500">
        <f t="shared" si="11"/>
        <v>0</v>
      </c>
      <c r="G38" s="500">
        <f t="shared" si="11"/>
        <v>0</v>
      </c>
      <c r="H38" s="500">
        <f t="shared" si="11"/>
        <v>0</v>
      </c>
      <c r="I38" s="500">
        <f t="shared" si="11"/>
        <v>0</v>
      </c>
      <c r="J38" s="500">
        <f t="shared" si="11"/>
        <v>0</v>
      </c>
      <c r="K38" s="500">
        <f t="shared" si="11"/>
        <v>0</v>
      </c>
      <c r="L38" s="500">
        <f t="shared" si="11"/>
        <v>0</v>
      </c>
      <c r="M38" s="500">
        <f t="shared" si="11"/>
        <v>0</v>
      </c>
      <c r="N38" s="500">
        <f t="shared" si="11"/>
        <v>0</v>
      </c>
      <c r="O38" s="500">
        <f t="shared" si="11"/>
        <v>0</v>
      </c>
      <c r="P38" s="500">
        <f t="shared" si="11"/>
        <v>0</v>
      </c>
      <c r="Q38" s="500">
        <f t="shared" ref="Q38:V38" si="12">SUM(Q36:Q37)</f>
        <v>0</v>
      </c>
      <c r="R38" s="500">
        <f t="shared" si="12"/>
        <v>0</v>
      </c>
      <c r="S38" s="500">
        <f t="shared" si="12"/>
        <v>0</v>
      </c>
      <c r="T38" s="500">
        <f t="shared" si="12"/>
        <v>0</v>
      </c>
      <c r="U38" s="500">
        <f t="shared" si="12"/>
        <v>0</v>
      </c>
      <c r="V38" s="500">
        <f t="shared" si="12"/>
        <v>0</v>
      </c>
      <c r="W38" s="499">
        <v>0</v>
      </c>
      <c r="X38" s="499">
        <v>0</v>
      </c>
      <c r="Y38" s="446"/>
      <c r="Z38" s="446"/>
      <c r="AA38" s="446"/>
      <c r="AB38" s="446"/>
      <c r="AC38" s="446"/>
    </row>
    <row r="39" spans="1:29" x14ac:dyDescent="0.2">
      <c r="A39" s="446"/>
      <c r="B39" s="446"/>
      <c r="C39" s="501"/>
      <c r="D39" s="501"/>
      <c r="E39" s="501"/>
      <c r="F39" s="501"/>
      <c r="G39" s="501"/>
      <c r="H39" s="501"/>
      <c r="I39" s="501"/>
      <c r="J39" s="501"/>
      <c r="K39" s="501"/>
      <c r="L39" s="501"/>
      <c r="M39" s="501"/>
      <c r="N39" s="501"/>
      <c r="O39" s="501"/>
      <c r="P39" s="501"/>
      <c r="Q39" s="501"/>
      <c r="R39" s="501"/>
      <c r="S39" s="501"/>
      <c r="T39" s="501"/>
      <c r="U39" s="501"/>
      <c r="V39" s="501"/>
      <c r="W39" s="446"/>
      <c r="X39" s="446"/>
      <c r="Y39" s="446"/>
      <c r="Z39" s="446"/>
      <c r="AA39" s="446"/>
      <c r="AB39" s="446"/>
      <c r="AC39" s="446"/>
    </row>
    <row r="40" spans="1:29" x14ac:dyDescent="0.2">
      <c r="A40" s="476" t="s">
        <v>256</v>
      </c>
      <c r="B40" s="450" t="s">
        <v>1014</v>
      </c>
      <c r="C40" s="183"/>
      <c r="D40" s="183"/>
      <c r="E40" s="183"/>
      <c r="F40" s="183"/>
      <c r="G40" s="183">
        <v>0.75</v>
      </c>
      <c r="H40" s="183">
        <v>1.41</v>
      </c>
      <c r="I40" s="183">
        <v>1.67</v>
      </c>
      <c r="J40" s="183">
        <v>1.8</v>
      </c>
      <c r="K40" s="183">
        <v>1.93</v>
      </c>
      <c r="L40" s="183">
        <v>2.06</v>
      </c>
      <c r="M40" s="183">
        <v>2.19</v>
      </c>
      <c r="N40" s="183"/>
      <c r="O40" s="183"/>
      <c r="P40" s="183"/>
      <c r="Q40" s="183"/>
      <c r="R40" s="183"/>
      <c r="S40" s="183"/>
      <c r="T40" s="183"/>
      <c r="U40" s="183"/>
      <c r="V40" s="183"/>
      <c r="W40" s="499">
        <v>8.3647009619406104E-2</v>
      </c>
      <c r="X40" s="499">
        <v>5.3726761043834219E-2</v>
      </c>
      <c r="Y40" s="499">
        <v>4.9556820434400926E-2</v>
      </c>
      <c r="Z40" s="499">
        <v>4.437344692935747E-2</v>
      </c>
      <c r="AA40" s="499">
        <v>3.9599927588703836E-2</v>
      </c>
      <c r="AB40" s="499">
        <v>3.5211267605633804E-2</v>
      </c>
      <c r="AC40" s="499" t="s">
        <v>360</v>
      </c>
    </row>
    <row r="41" spans="1:29" x14ac:dyDescent="0.2">
      <c r="A41" s="446"/>
      <c r="B41" s="446"/>
      <c r="C41" s="501"/>
      <c r="D41" s="501"/>
      <c r="E41" s="501"/>
      <c r="F41" s="501"/>
      <c r="G41" s="501"/>
      <c r="H41" s="501"/>
      <c r="I41" s="501"/>
      <c r="J41" s="501"/>
      <c r="K41" s="501"/>
      <c r="L41" s="501"/>
      <c r="M41" s="501"/>
      <c r="N41" s="501"/>
      <c r="O41" s="501"/>
      <c r="P41" s="501"/>
      <c r="Q41" s="501"/>
      <c r="R41" s="501"/>
      <c r="S41" s="501"/>
      <c r="T41" s="501"/>
      <c r="U41" s="501"/>
      <c r="V41" s="501"/>
      <c r="W41" s="499"/>
      <c r="X41" s="499"/>
      <c r="Y41" s="499"/>
      <c r="Z41" s="446"/>
      <c r="AA41" s="446"/>
      <c r="AB41" s="499"/>
      <c r="AC41" s="499"/>
    </row>
    <row r="42" spans="1:29" x14ac:dyDescent="0.2">
      <c r="A42" s="476" t="s">
        <v>257</v>
      </c>
      <c r="B42" s="513" t="s">
        <v>998</v>
      </c>
      <c r="C42" s="183"/>
      <c r="D42" s="183"/>
      <c r="E42" s="183"/>
      <c r="F42" s="183"/>
      <c r="G42" s="183">
        <v>3</v>
      </c>
      <c r="H42" s="183">
        <v>5.66</v>
      </c>
      <c r="I42" s="183">
        <v>6.68</v>
      </c>
      <c r="J42" s="183">
        <v>7.2</v>
      </c>
      <c r="K42" s="183">
        <v>7.71</v>
      </c>
      <c r="L42" s="183">
        <v>8.23</v>
      </c>
      <c r="M42" s="183">
        <v>8.74</v>
      </c>
      <c r="N42" s="183"/>
      <c r="O42" s="183"/>
      <c r="P42" s="183"/>
      <c r="Q42" s="183"/>
      <c r="R42" s="183"/>
      <c r="S42" s="183"/>
      <c r="T42" s="183"/>
      <c r="U42" s="183"/>
      <c r="V42" s="183"/>
      <c r="W42" s="499">
        <v>0.17924359204158452</v>
      </c>
      <c r="X42" s="499">
        <v>0.11512877366535904</v>
      </c>
      <c r="Y42" s="499">
        <v>0.10619318664514485</v>
      </c>
      <c r="Z42" s="499">
        <v>9.5085957705766014E-2</v>
      </c>
      <c r="AA42" s="499">
        <v>8.4856987690079655E-2</v>
      </c>
      <c r="AB42" s="499">
        <v>7.5452716297786715E-2</v>
      </c>
      <c r="AC42" s="499" t="s">
        <v>360</v>
      </c>
    </row>
    <row r="43" spans="1:29" x14ac:dyDescent="0.2">
      <c r="A43" s="446"/>
      <c r="B43" s="450" t="s">
        <v>997</v>
      </c>
      <c r="C43" s="501"/>
      <c r="D43" s="501"/>
      <c r="E43" s="501"/>
      <c r="F43" s="501"/>
      <c r="G43" s="501"/>
      <c r="H43" s="501"/>
      <c r="I43" s="501"/>
      <c r="J43" s="501"/>
      <c r="K43" s="501"/>
      <c r="L43" s="501"/>
      <c r="M43" s="501"/>
      <c r="N43" s="501"/>
      <c r="O43" s="501"/>
      <c r="P43" s="501"/>
      <c r="Q43" s="501"/>
      <c r="R43" s="501"/>
      <c r="S43" s="501"/>
      <c r="T43" s="501"/>
      <c r="U43" s="501"/>
      <c r="V43" s="501"/>
      <c r="W43" s="499"/>
      <c r="X43" s="499"/>
      <c r="Y43" s="499"/>
      <c r="Z43" s="446"/>
      <c r="AA43" s="446"/>
      <c r="AB43" s="499"/>
      <c r="AC43" s="499"/>
    </row>
    <row r="44" spans="1:29" x14ac:dyDescent="0.2">
      <c r="A44" s="476" t="s">
        <v>284</v>
      </c>
      <c r="B44" s="450" t="s">
        <v>1005</v>
      </c>
      <c r="C44" s="501"/>
      <c r="D44" s="501"/>
      <c r="E44" s="501"/>
      <c r="F44" s="501"/>
      <c r="G44" s="501"/>
      <c r="H44" s="501"/>
      <c r="I44" s="501"/>
      <c r="J44" s="501"/>
      <c r="K44" s="501"/>
      <c r="L44" s="501"/>
      <c r="M44" s="501"/>
      <c r="N44" s="501"/>
      <c r="O44" s="501"/>
      <c r="P44" s="501"/>
      <c r="Q44" s="501"/>
      <c r="R44" s="501"/>
      <c r="S44" s="501"/>
      <c r="T44" s="501"/>
      <c r="U44" s="501"/>
      <c r="V44" s="501"/>
      <c r="W44" s="499">
        <v>0</v>
      </c>
      <c r="X44" s="499">
        <v>0</v>
      </c>
      <c r="Y44" s="499">
        <v>0</v>
      </c>
      <c r="Z44" s="499">
        <v>0</v>
      </c>
      <c r="AA44" s="499">
        <v>0</v>
      </c>
      <c r="AB44" s="499">
        <v>0</v>
      </c>
      <c r="AC44" s="499" t="s">
        <v>360</v>
      </c>
    </row>
    <row r="45" spans="1:29" x14ac:dyDescent="0.2">
      <c r="A45" s="446"/>
      <c r="B45" s="450" t="s">
        <v>1006</v>
      </c>
      <c r="C45" s="183"/>
      <c r="D45" s="183"/>
      <c r="E45" s="183"/>
      <c r="F45" s="183"/>
      <c r="G45" s="183"/>
      <c r="H45" s="183"/>
      <c r="I45" s="183"/>
      <c r="J45" s="183"/>
      <c r="K45" s="183"/>
      <c r="L45" s="183"/>
      <c r="M45" s="183"/>
      <c r="N45" s="183"/>
      <c r="O45" s="183"/>
      <c r="P45" s="183"/>
      <c r="Q45" s="183"/>
      <c r="R45" s="183"/>
      <c r="S45" s="183"/>
      <c r="T45" s="183"/>
      <c r="U45" s="183"/>
      <c r="V45" s="183"/>
      <c r="W45" s="499">
        <v>0.17207384835992112</v>
      </c>
      <c r="X45" s="499">
        <v>0.12157598499061915</v>
      </c>
      <c r="Y45" s="499">
        <v>0.12233455101520688</v>
      </c>
      <c r="Z45" s="499">
        <v>0.11866727521679597</v>
      </c>
      <c r="AA45" s="499">
        <v>0.11404779145546705</v>
      </c>
      <c r="AB45" s="499">
        <v>0.10865191146881288</v>
      </c>
      <c r="AC45" s="499" t="s">
        <v>360</v>
      </c>
    </row>
    <row r="46" spans="1:29" x14ac:dyDescent="0.2">
      <c r="A46" s="446"/>
      <c r="B46" s="450" t="s">
        <v>1007</v>
      </c>
      <c r="C46" s="183"/>
      <c r="D46" s="183"/>
      <c r="E46" s="183"/>
      <c r="F46" s="183"/>
      <c r="G46" s="183"/>
      <c r="H46" s="183"/>
      <c r="I46" s="183"/>
      <c r="J46" s="183"/>
      <c r="K46" s="183"/>
      <c r="L46" s="183"/>
      <c r="M46" s="183"/>
      <c r="N46" s="183"/>
      <c r="O46" s="183"/>
      <c r="P46" s="183"/>
      <c r="Q46" s="183"/>
      <c r="R46" s="183"/>
      <c r="S46" s="183"/>
      <c r="T46" s="183"/>
      <c r="U46" s="183"/>
      <c r="V46" s="183"/>
      <c r="W46" s="499">
        <v>0</v>
      </c>
      <c r="X46" s="499">
        <v>0</v>
      </c>
      <c r="Y46" s="499">
        <v>0</v>
      </c>
      <c r="Z46" s="499">
        <v>0</v>
      </c>
      <c r="AA46" s="499">
        <v>0</v>
      </c>
      <c r="AB46" s="499">
        <v>0</v>
      </c>
      <c r="AC46" s="499" t="s">
        <v>360</v>
      </c>
    </row>
    <row r="47" spans="1:29" x14ac:dyDescent="0.2">
      <c r="A47" s="476" t="s">
        <v>285</v>
      </c>
      <c r="B47" s="446" t="s">
        <v>286</v>
      </c>
      <c r="C47" s="183">
        <v>0.03</v>
      </c>
      <c r="D47" s="186">
        <v>0.02</v>
      </c>
      <c r="E47" s="186">
        <v>0.02</v>
      </c>
      <c r="F47" s="186">
        <v>0.02</v>
      </c>
      <c r="G47" s="186">
        <v>1.57</v>
      </c>
      <c r="H47" s="186">
        <v>2.48</v>
      </c>
      <c r="I47" s="186">
        <v>2.16</v>
      </c>
      <c r="J47" s="186">
        <v>1.88</v>
      </c>
      <c r="K47" s="186">
        <v>1.64</v>
      </c>
      <c r="L47" s="186">
        <v>1.43</v>
      </c>
      <c r="M47" s="186">
        <v>1.24</v>
      </c>
      <c r="N47" s="186"/>
      <c r="O47" s="186"/>
      <c r="P47" s="186"/>
      <c r="Q47" s="186"/>
      <c r="R47" s="186"/>
      <c r="S47" s="186"/>
      <c r="T47" s="186"/>
      <c r="U47" s="186"/>
      <c r="V47" s="186"/>
      <c r="W47" s="499">
        <v>0</v>
      </c>
      <c r="X47" s="499">
        <v>0</v>
      </c>
      <c r="Y47" s="499">
        <v>0</v>
      </c>
      <c r="Z47" s="499">
        <v>0</v>
      </c>
      <c r="AA47" s="499">
        <v>0</v>
      </c>
      <c r="AB47" s="499">
        <v>0</v>
      </c>
      <c r="AC47" s="499" t="s">
        <v>360</v>
      </c>
    </row>
    <row r="48" spans="1:29" x14ac:dyDescent="0.2">
      <c r="A48" s="446"/>
      <c r="B48" s="446"/>
      <c r="C48" s="504"/>
      <c r="D48" s="420"/>
      <c r="E48" s="504"/>
      <c r="F48" s="504"/>
      <c r="G48" s="504"/>
      <c r="H48" s="505"/>
      <c r="I48" s="504"/>
      <c r="J48" s="504"/>
      <c r="K48" s="504"/>
      <c r="L48" s="504"/>
      <c r="M48" s="504"/>
      <c r="N48" s="504"/>
      <c r="O48" s="504"/>
      <c r="P48" s="504"/>
      <c r="Q48" s="504"/>
      <c r="R48" s="504"/>
      <c r="S48" s="504"/>
      <c r="T48" s="504"/>
      <c r="U48" s="504"/>
      <c r="V48" s="504"/>
      <c r="W48" s="446"/>
      <c r="X48" s="446"/>
      <c r="Y48" s="446"/>
      <c r="Z48" s="446"/>
      <c r="AA48" s="446"/>
      <c r="AB48" s="446"/>
      <c r="AC48" s="446"/>
    </row>
    <row r="49" spans="1:29" x14ac:dyDescent="0.2">
      <c r="A49" s="506" t="s">
        <v>287</v>
      </c>
      <c r="B49" s="507" t="s">
        <v>288</v>
      </c>
      <c r="C49" s="484">
        <f>C34+C38+C40+C42+SUM(C44:C47)</f>
        <v>0.03</v>
      </c>
      <c r="D49" s="484">
        <f>D34+D38+D40+D42+SUM(D44:D47)</f>
        <v>0.02</v>
      </c>
      <c r="E49" s="484">
        <f t="shared" ref="E49:P49" si="13">E34+E38+E40+E42+SUM(E44:E47)</f>
        <v>0.02</v>
      </c>
      <c r="F49" s="484">
        <f t="shared" si="13"/>
        <v>0.02</v>
      </c>
      <c r="G49" s="484">
        <f t="shared" si="13"/>
        <v>13.86</v>
      </c>
      <c r="H49" s="484">
        <f t="shared" si="13"/>
        <v>23.48</v>
      </c>
      <c r="I49" s="484">
        <f t="shared" si="13"/>
        <v>28.76</v>
      </c>
      <c r="J49" s="484">
        <f t="shared" si="13"/>
        <v>30.279999999999998</v>
      </c>
      <c r="K49" s="484">
        <f t="shared" si="13"/>
        <v>32.78</v>
      </c>
      <c r="L49" s="484">
        <f t="shared" si="13"/>
        <v>35.020000000000003</v>
      </c>
      <c r="M49" s="484">
        <f t="shared" si="13"/>
        <v>37.17</v>
      </c>
      <c r="N49" s="484">
        <f t="shared" si="13"/>
        <v>0</v>
      </c>
      <c r="O49" s="484">
        <f t="shared" si="13"/>
        <v>0</v>
      </c>
      <c r="P49" s="484">
        <f t="shared" si="13"/>
        <v>0</v>
      </c>
      <c r="Q49" s="484">
        <f t="shared" ref="Q49:V49" si="14">Q34+Q38+Q40+Q42+SUM(Q44:Q47)</f>
        <v>0</v>
      </c>
      <c r="R49" s="484">
        <f t="shared" si="14"/>
        <v>0</v>
      </c>
      <c r="S49" s="484">
        <f t="shared" si="14"/>
        <v>0</v>
      </c>
      <c r="T49" s="484">
        <f t="shared" si="14"/>
        <v>0</v>
      </c>
      <c r="U49" s="484">
        <f t="shared" si="14"/>
        <v>0</v>
      </c>
      <c r="V49" s="484">
        <f t="shared" si="14"/>
        <v>0</v>
      </c>
      <c r="W49" s="446"/>
      <c r="X49" s="446"/>
      <c r="Y49" s="446"/>
      <c r="Z49" s="446"/>
      <c r="AA49" s="446"/>
      <c r="AB49" s="446"/>
      <c r="AC49" s="446"/>
    </row>
    <row r="50" spans="1:29" x14ac:dyDescent="0.2">
      <c r="A50" s="446"/>
      <c r="B50" s="446"/>
      <c r="C50" s="420"/>
      <c r="D50" s="420"/>
      <c r="E50" s="420"/>
      <c r="F50" s="420"/>
      <c r="G50" s="420"/>
      <c r="H50" s="420"/>
      <c r="I50" s="420"/>
      <c r="J50" s="420"/>
      <c r="K50" s="420"/>
      <c r="L50" s="420"/>
      <c r="M50" s="420"/>
      <c r="N50" s="420"/>
      <c r="O50" s="420"/>
      <c r="P50" s="420"/>
      <c r="Q50" s="420"/>
      <c r="R50" s="420"/>
      <c r="S50" s="420"/>
      <c r="T50" s="420"/>
      <c r="U50" s="420"/>
      <c r="V50" s="420"/>
      <c r="W50" s="446"/>
      <c r="X50" s="446"/>
      <c r="Y50" s="446"/>
      <c r="Z50" s="446"/>
      <c r="AA50" s="446"/>
      <c r="AB50" s="446"/>
      <c r="AC50" s="446"/>
    </row>
    <row r="51" spans="1:29" x14ac:dyDescent="0.2">
      <c r="A51" s="446"/>
      <c r="B51" s="446"/>
      <c r="C51" s="420"/>
      <c r="D51" s="420"/>
      <c r="E51" s="420"/>
      <c r="F51" s="420"/>
      <c r="G51" s="420"/>
      <c r="H51" s="420"/>
      <c r="I51" s="420"/>
      <c r="J51" s="420"/>
      <c r="K51" s="420"/>
      <c r="L51" s="420"/>
      <c r="M51" s="420"/>
      <c r="N51" s="420"/>
      <c r="O51" s="420"/>
      <c r="P51" s="420"/>
      <c r="Q51" s="420"/>
      <c r="R51" s="420"/>
      <c r="S51" s="420"/>
      <c r="T51" s="420"/>
      <c r="U51" s="420"/>
      <c r="V51" s="420"/>
      <c r="W51" s="446"/>
      <c r="X51" s="446"/>
      <c r="Y51" s="446"/>
      <c r="Z51" s="446"/>
      <c r="AA51" s="446"/>
      <c r="AB51" s="446"/>
      <c r="AC51" s="446"/>
    </row>
    <row r="52" spans="1:29" x14ac:dyDescent="0.2">
      <c r="A52" s="446"/>
      <c r="B52" s="410" t="s">
        <v>786</v>
      </c>
      <c r="C52" s="420"/>
      <c r="D52" s="420"/>
      <c r="E52" s="420"/>
      <c r="F52" s="420"/>
      <c r="G52" s="420"/>
      <c r="H52" s="420"/>
      <c r="I52" s="420"/>
      <c r="J52" s="420"/>
      <c r="K52" s="420"/>
      <c r="L52" s="420"/>
      <c r="M52" s="420"/>
      <c r="N52" s="420"/>
      <c r="O52" s="420"/>
      <c r="P52" s="420"/>
      <c r="Q52" s="420"/>
      <c r="R52" s="420"/>
      <c r="S52" s="420"/>
      <c r="T52" s="420"/>
      <c r="U52" s="420"/>
      <c r="V52" s="420"/>
      <c r="W52" s="446"/>
      <c r="X52" s="446"/>
      <c r="Y52" s="446"/>
      <c r="Z52" s="446"/>
      <c r="AA52" s="446"/>
      <c r="AB52" s="446"/>
      <c r="AC52" s="446"/>
    </row>
    <row r="53" spans="1:29" x14ac:dyDescent="0.2">
      <c r="A53" s="446"/>
      <c r="B53" s="446"/>
      <c r="C53" s="420"/>
      <c r="D53" s="420"/>
      <c r="E53" s="420"/>
      <c r="F53" s="420"/>
      <c r="G53" s="420"/>
      <c r="H53" s="420"/>
      <c r="I53" s="508" t="s">
        <v>289</v>
      </c>
      <c r="J53" s="508"/>
      <c r="K53" s="508"/>
      <c r="L53" s="508"/>
      <c r="M53" s="508"/>
      <c r="N53" s="508"/>
      <c r="O53" s="508"/>
      <c r="P53" s="508"/>
      <c r="Q53" s="508"/>
      <c r="R53" s="508"/>
      <c r="S53" s="508"/>
      <c r="T53" s="508"/>
      <c r="U53" s="508"/>
      <c r="V53" s="508"/>
      <c r="W53" s="446"/>
      <c r="X53" s="446"/>
      <c r="Y53" s="446"/>
      <c r="Z53" s="446"/>
      <c r="AA53" s="446"/>
      <c r="AB53" s="446"/>
      <c r="AC53" s="446"/>
    </row>
    <row r="54" spans="1:29" x14ac:dyDescent="0.2">
      <c r="A54" s="475"/>
      <c r="B54" s="475">
        <f>B7</f>
        <v>0</v>
      </c>
      <c r="C54" s="420"/>
      <c r="D54" s="420"/>
      <c r="E54" s="420"/>
      <c r="F54" s="420"/>
      <c r="G54" s="508" t="s">
        <v>81</v>
      </c>
      <c r="H54" s="508" t="str">
        <f>H7</f>
        <v>Crores</v>
      </c>
      <c r="I54" s="420"/>
      <c r="J54" s="420"/>
      <c r="K54" s="420"/>
      <c r="L54" s="420"/>
      <c r="M54" s="420"/>
      <c r="N54" s="420"/>
      <c r="O54" s="420"/>
      <c r="P54" s="420"/>
      <c r="Q54" s="420"/>
      <c r="R54" s="420"/>
      <c r="S54" s="420"/>
      <c r="T54" s="420"/>
      <c r="U54" s="420"/>
      <c r="V54" s="420"/>
      <c r="W54" s="446"/>
      <c r="X54" s="446"/>
      <c r="Y54" s="446"/>
      <c r="Z54" s="446"/>
      <c r="AA54" s="446"/>
      <c r="AB54" s="446"/>
      <c r="AC54" s="446"/>
    </row>
    <row r="55" spans="1:29" x14ac:dyDescent="0.2">
      <c r="A55" s="446"/>
      <c r="B55" s="476" t="s">
        <v>82</v>
      </c>
      <c r="C55" s="509" t="s">
        <v>84</v>
      </c>
      <c r="D55" s="509" t="s">
        <v>84</v>
      </c>
      <c r="E55" s="509" t="s">
        <v>84</v>
      </c>
      <c r="F55" s="509" t="s">
        <v>84</v>
      </c>
      <c r="G55" s="509" t="s">
        <v>84</v>
      </c>
      <c r="H55" s="509" t="s">
        <v>84</v>
      </c>
      <c r="I55" s="509" t="s">
        <v>84</v>
      </c>
      <c r="J55" s="509" t="s">
        <v>84</v>
      </c>
      <c r="K55" s="509" t="s">
        <v>84</v>
      </c>
      <c r="L55" s="509" t="s">
        <v>84</v>
      </c>
      <c r="M55" s="509" t="s">
        <v>84</v>
      </c>
      <c r="N55" s="509" t="s">
        <v>84</v>
      </c>
      <c r="O55" s="509" t="s">
        <v>84</v>
      </c>
      <c r="P55" s="509" t="s">
        <v>84</v>
      </c>
      <c r="Q55" s="509" t="s">
        <v>84</v>
      </c>
      <c r="R55" s="509" t="s">
        <v>84</v>
      </c>
      <c r="S55" s="509" t="s">
        <v>84</v>
      </c>
      <c r="T55" s="509" t="s">
        <v>84</v>
      </c>
      <c r="U55" s="509" t="s">
        <v>84</v>
      </c>
      <c r="V55" s="509" t="s">
        <v>84</v>
      </c>
      <c r="W55" s="446"/>
      <c r="X55" s="446"/>
      <c r="Y55" s="446"/>
      <c r="Z55" s="446"/>
      <c r="AA55" s="446"/>
      <c r="AB55" s="446"/>
      <c r="AC55" s="446"/>
    </row>
    <row r="56" spans="1:29" x14ac:dyDescent="0.2">
      <c r="A56" s="446"/>
      <c r="B56" s="446"/>
      <c r="C56" s="510">
        <f>C11</f>
        <v>2020</v>
      </c>
      <c r="D56" s="510">
        <f t="shared" ref="D56:P56" si="15">D11</f>
        <v>2021</v>
      </c>
      <c r="E56" s="510">
        <f t="shared" si="15"/>
        <v>2022</v>
      </c>
      <c r="F56" s="510">
        <f t="shared" si="15"/>
        <v>2023</v>
      </c>
      <c r="G56" s="510">
        <f t="shared" si="15"/>
        <v>2024</v>
      </c>
      <c r="H56" s="510">
        <f t="shared" si="15"/>
        <v>2025</v>
      </c>
      <c r="I56" s="510">
        <f t="shared" si="15"/>
        <v>2026</v>
      </c>
      <c r="J56" s="510">
        <f t="shared" si="15"/>
        <v>2027</v>
      </c>
      <c r="K56" s="510">
        <f t="shared" si="15"/>
        <v>2028</v>
      </c>
      <c r="L56" s="510">
        <f t="shared" si="15"/>
        <v>2029</v>
      </c>
      <c r="M56" s="510">
        <f t="shared" si="15"/>
        <v>2030</v>
      </c>
      <c r="N56" s="510">
        <f t="shared" si="15"/>
        <v>2031</v>
      </c>
      <c r="O56" s="510">
        <f t="shared" si="15"/>
        <v>2032</v>
      </c>
      <c r="P56" s="510">
        <f t="shared" si="15"/>
        <v>2033</v>
      </c>
      <c r="Q56" s="510">
        <f t="shared" ref="Q56:V56" si="16">Q11</f>
        <v>2034</v>
      </c>
      <c r="R56" s="510">
        <f t="shared" si="16"/>
        <v>2035</v>
      </c>
      <c r="S56" s="510">
        <f t="shared" si="16"/>
        <v>2036</v>
      </c>
      <c r="T56" s="510">
        <f t="shared" si="16"/>
        <v>2037</v>
      </c>
      <c r="U56" s="510">
        <f t="shared" si="16"/>
        <v>2038</v>
      </c>
      <c r="V56" s="510">
        <f t="shared" si="16"/>
        <v>2039</v>
      </c>
      <c r="W56" s="446"/>
      <c r="X56" s="446"/>
      <c r="Y56" s="446"/>
      <c r="Z56" s="446"/>
      <c r="AA56" s="446"/>
      <c r="AB56" s="446"/>
      <c r="AC56" s="446"/>
    </row>
    <row r="57" spans="1:29" x14ac:dyDescent="0.2">
      <c r="A57" s="446"/>
      <c r="B57" s="446"/>
      <c r="C57" s="511" t="str">
        <f>C12</f>
        <v>AUD.</v>
      </c>
      <c r="D57" s="511" t="str">
        <f t="shared" ref="D57:P57" si="17">D12</f>
        <v>AUD.</v>
      </c>
      <c r="E57" s="511" t="str">
        <f t="shared" si="17"/>
        <v>AUD.</v>
      </c>
      <c r="F57" s="511" t="str">
        <f t="shared" si="17"/>
        <v>EST.</v>
      </c>
      <c r="G57" s="511" t="str">
        <f t="shared" si="17"/>
        <v>PROJ.</v>
      </c>
      <c r="H57" s="511" t="str">
        <f t="shared" si="17"/>
        <v>PROJ.</v>
      </c>
      <c r="I57" s="511" t="str">
        <f t="shared" si="17"/>
        <v>PROJ.</v>
      </c>
      <c r="J57" s="511" t="str">
        <f t="shared" si="17"/>
        <v>PROJ.</v>
      </c>
      <c r="K57" s="511" t="str">
        <f t="shared" si="17"/>
        <v>PROJ.</v>
      </c>
      <c r="L57" s="511" t="str">
        <f t="shared" si="17"/>
        <v>PROJ.</v>
      </c>
      <c r="M57" s="511" t="str">
        <f t="shared" si="17"/>
        <v>PROJ.</v>
      </c>
      <c r="N57" s="511" t="str">
        <f t="shared" si="17"/>
        <v>PROJ.</v>
      </c>
      <c r="O57" s="511" t="str">
        <f t="shared" si="17"/>
        <v>PROJ.</v>
      </c>
      <c r="P57" s="511" t="str">
        <f t="shared" si="17"/>
        <v>PROJ.</v>
      </c>
      <c r="Q57" s="511" t="str">
        <f t="shared" ref="Q57:V57" si="18">Q12</f>
        <v>PROJ.</v>
      </c>
      <c r="R57" s="511" t="str">
        <f t="shared" si="18"/>
        <v>PROJ.</v>
      </c>
      <c r="S57" s="511" t="str">
        <f t="shared" si="18"/>
        <v>PROJ.</v>
      </c>
      <c r="T57" s="511" t="str">
        <f t="shared" si="18"/>
        <v>PROJ.</v>
      </c>
      <c r="U57" s="511" t="str">
        <f t="shared" si="18"/>
        <v>PROJ.</v>
      </c>
      <c r="V57" s="511" t="str">
        <f t="shared" si="18"/>
        <v>PROJ.</v>
      </c>
      <c r="W57" s="446"/>
      <c r="X57" s="446"/>
      <c r="Y57" s="446"/>
      <c r="Z57" s="446"/>
      <c r="AA57" s="446"/>
      <c r="AB57" s="446"/>
      <c r="AC57" s="446"/>
    </row>
    <row r="58" spans="1:29" x14ac:dyDescent="0.2">
      <c r="A58" s="447" t="s">
        <v>290</v>
      </c>
      <c r="B58" s="503" t="s">
        <v>291</v>
      </c>
      <c r="C58" s="183"/>
      <c r="D58" s="505">
        <f>IF(D23=0,0,C59+INPUT!D17)</f>
        <v>0</v>
      </c>
      <c r="E58" s="505">
        <f>IF(E23=0,0,D59+INPUT!E17)</f>
        <v>0</v>
      </c>
      <c r="F58" s="505">
        <f>IF(F23=0,0,E59+INPUT!F17)</f>
        <v>0</v>
      </c>
      <c r="G58" s="505">
        <f>IF(G23=0,0,F59+INPUT!G17)</f>
        <v>0</v>
      </c>
      <c r="H58" s="505">
        <f>IF(H23=0,0,G59+INPUT!H17)</f>
        <v>0</v>
      </c>
      <c r="I58" s="505">
        <f>IF(I23=0,0,H59+INPUT!I17)</f>
        <v>0</v>
      </c>
      <c r="J58" s="505">
        <f>IF(J23=0,0,I59+INPUT!J17)</f>
        <v>0</v>
      </c>
      <c r="K58" s="505">
        <f>IF(K23=0,0,J59+INPUT!K17)</f>
        <v>0</v>
      </c>
      <c r="L58" s="505">
        <f>IF(L23=0,0,K59+INPUT!L17)</f>
        <v>0</v>
      </c>
      <c r="M58" s="505">
        <f>IF(M23=0,0,L59+INPUT!M17)</f>
        <v>0</v>
      </c>
      <c r="N58" s="505">
        <f>IF(N23=0,0,M59+INPUT!N17)</f>
        <v>0</v>
      </c>
      <c r="O58" s="505">
        <f>IF(O23=0,0,N59+INPUT!O17)</f>
        <v>0</v>
      </c>
      <c r="P58" s="505">
        <f>IF(P23=0,0,O59+INPUT!P17)</f>
        <v>0</v>
      </c>
      <c r="Q58" s="505">
        <f>IF(Q23=0,0,P59+INPUT!Q17)</f>
        <v>0</v>
      </c>
      <c r="R58" s="505">
        <f>IF(R23=0,0,Q59+INPUT!R17)</f>
        <v>0</v>
      </c>
      <c r="S58" s="505">
        <f>IF(S23=0,0,R59+INPUT!S17)</f>
        <v>0</v>
      </c>
      <c r="T58" s="505">
        <f>IF(T23=0,0,S59+INPUT!T17)</f>
        <v>0</v>
      </c>
      <c r="U58" s="505">
        <f>IF(U23=0,0,T59+INPUT!U17)</f>
        <v>0</v>
      </c>
      <c r="V58" s="505">
        <f>IF(V23=0,0,U59+INPUT!V17)</f>
        <v>0</v>
      </c>
      <c r="W58" s="446"/>
      <c r="X58" s="446"/>
      <c r="Y58" s="446"/>
      <c r="Z58" s="446"/>
      <c r="AA58" s="446"/>
      <c r="AB58" s="446"/>
      <c r="AC58" s="446"/>
    </row>
    <row r="59" spans="1:29" x14ac:dyDescent="0.2">
      <c r="A59" s="476" t="s">
        <v>292</v>
      </c>
      <c r="B59" s="503" t="s">
        <v>210</v>
      </c>
      <c r="C59" s="183"/>
      <c r="D59" s="183"/>
      <c r="E59" s="183"/>
      <c r="F59" s="183"/>
      <c r="G59" s="183"/>
      <c r="H59" s="183"/>
      <c r="I59" s="183"/>
      <c r="J59" s="183"/>
      <c r="K59" s="183"/>
      <c r="L59" s="183"/>
      <c r="M59" s="183"/>
      <c r="N59" s="183"/>
      <c r="O59" s="183"/>
      <c r="P59" s="183"/>
      <c r="Q59" s="183"/>
      <c r="R59" s="183"/>
      <c r="S59" s="183"/>
      <c r="T59" s="183"/>
      <c r="U59" s="183"/>
      <c r="V59" s="183"/>
      <c r="W59" s="420">
        <v>0</v>
      </c>
      <c r="X59" s="420">
        <v>0</v>
      </c>
      <c r="Y59" s="420">
        <v>0</v>
      </c>
      <c r="Z59" s="420">
        <v>0</v>
      </c>
      <c r="AA59" s="420">
        <v>0</v>
      </c>
      <c r="AB59" s="420">
        <v>0</v>
      </c>
      <c r="AC59" s="420" t="s">
        <v>360</v>
      </c>
    </row>
    <row r="60" spans="1:29" x14ac:dyDescent="0.2">
      <c r="A60" s="446"/>
      <c r="B60" s="446"/>
      <c r="C60" s="501"/>
      <c r="D60" s="420"/>
      <c r="E60" s="501"/>
      <c r="F60" s="501"/>
      <c r="G60" s="501"/>
      <c r="H60" s="501"/>
      <c r="I60" s="501"/>
      <c r="J60" s="501"/>
      <c r="K60" s="501"/>
      <c r="L60" s="501"/>
      <c r="M60" s="501"/>
      <c r="N60" s="501"/>
      <c r="O60" s="501"/>
      <c r="P60" s="501"/>
      <c r="Q60" s="501"/>
      <c r="R60" s="501"/>
      <c r="S60" s="501"/>
      <c r="T60" s="501"/>
      <c r="U60" s="501"/>
      <c r="V60" s="501"/>
      <c r="W60" s="446"/>
      <c r="X60" s="446"/>
      <c r="Y60" s="446"/>
      <c r="Z60" s="446"/>
      <c r="AA60" s="446"/>
      <c r="AB60" s="446"/>
      <c r="AC60" s="446"/>
    </row>
    <row r="61" spans="1:29" x14ac:dyDescent="0.2">
      <c r="A61" s="476" t="s">
        <v>211</v>
      </c>
      <c r="B61" s="446" t="s">
        <v>212</v>
      </c>
      <c r="C61" s="484">
        <f>C49+C58-C59</f>
        <v>0.03</v>
      </c>
      <c r="D61" s="484">
        <f>D49+D58-D59</f>
        <v>0.02</v>
      </c>
      <c r="E61" s="484">
        <f t="shared" ref="E61:P61" si="19">E49+E58-E59</f>
        <v>0.02</v>
      </c>
      <c r="F61" s="484">
        <f t="shared" si="19"/>
        <v>0.02</v>
      </c>
      <c r="G61" s="484">
        <f t="shared" si="19"/>
        <v>13.86</v>
      </c>
      <c r="H61" s="484">
        <f t="shared" si="19"/>
        <v>23.48</v>
      </c>
      <c r="I61" s="484">
        <f t="shared" si="19"/>
        <v>28.76</v>
      </c>
      <c r="J61" s="484">
        <f t="shared" si="19"/>
        <v>30.279999999999998</v>
      </c>
      <c r="K61" s="484">
        <f t="shared" si="19"/>
        <v>32.78</v>
      </c>
      <c r="L61" s="484">
        <f t="shared" si="19"/>
        <v>35.020000000000003</v>
      </c>
      <c r="M61" s="484">
        <f t="shared" si="19"/>
        <v>37.17</v>
      </c>
      <c r="N61" s="484">
        <f t="shared" si="19"/>
        <v>0</v>
      </c>
      <c r="O61" s="484">
        <f t="shared" si="19"/>
        <v>0</v>
      </c>
      <c r="P61" s="484">
        <f t="shared" si="19"/>
        <v>0</v>
      </c>
      <c r="Q61" s="484">
        <f t="shared" ref="Q61:V61" si="20">Q49+Q58-Q59</f>
        <v>0</v>
      </c>
      <c r="R61" s="484">
        <f t="shared" si="20"/>
        <v>0</v>
      </c>
      <c r="S61" s="484">
        <f t="shared" si="20"/>
        <v>0</v>
      </c>
      <c r="T61" s="484">
        <f t="shared" si="20"/>
        <v>0</v>
      </c>
      <c r="U61" s="484">
        <f t="shared" si="20"/>
        <v>0</v>
      </c>
      <c r="V61" s="484">
        <f t="shared" si="20"/>
        <v>0</v>
      </c>
      <c r="W61" s="446"/>
      <c r="X61" s="446"/>
      <c r="Y61" s="446"/>
      <c r="Z61" s="446"/>
      <c r="AA61" s="446"/>
      <c r="AB61" s="446"/>
      <c r="AC61" s="446"/>
    </row>
    <row r="62" spans="1:29" x14ac:dyDescent="0.2">
      <c r="A62" s="476" t="s">
        <v>213</v>
      </c>
      <c r="B62" s="503" t="s">
        <v>262</v>
      </c>
      <c r="C62" s="183"/>
      <c r="D62" s="505">
        <f>IF(D23=0,0,C63+INPUT!D18)</f>
        <v>0</v>
      </c>
      <c r="E62" s="505">
        <f>IF(E23=0,0,D63+INPUT!E18)</f>
        <v>0</v>
      </c>
      <c r="F62" s="505">
        <f>IF(F23=0,0,E63+INPUT!F18)</f>
        <v>0</v>
      </c>
      <c r="G62" s="505">
        <f>IF(G23=0,0,F63+INPUT!G18)</f>
        <v>0</v>
      </c>
      <c r="H62" s="505">
        <f>IF(H23=0,0,G63+INPUT!H18)</f>
        <v>2</v>
      </c>
      <c r="I62" s="505">
        <f>IF(I23=0,0,H63+INPUT!I18)</f>
        <v>2.6</v>
      </c>
      <c r="J62" s="505">
        <f>IF(J23=0,0,I63+INPUT!J18)</f>
        <v>4</v>
      </c>
      <c r="K62" s="505">
        <f>IF(K23=0,0,J63+INPUT!K18)</f>
        <v>4.5</v>
      </c>
      <c r="L62" s="505">
        <f>IF(L23=0,0,K63+INPUT!L18)</f>
        <v>5</v>
      </c>
      <c r="M62" s="505">
        <f>IF(M23=0,0,L63+INPUT!M18)</f>
        <v>5.25</v>
      </c>
      <c r="N62" s="505">
        <f>IF(N23=0,0,M63+INPUT!N18)</f>
        <v>0</v>
      </c>
      <c r="O62" s="505">
        <f>IF(O23=0,0,N63+INPUT!O18)</f>
        <v>0</v>
      </c>
      <c r="P62" s="505">
        <f>IF(P23=0,0,O63+INPUT!P18)</f>
        <v>0</v>
      </c>
      <c r="Q62" s="505">
        <f>IF(Q23=0,0,P63+INPUT!Q18)</f>
        <v>0</v>
      </c>
      <c r="R62" s="505">
        <f>IF(R23=0,0,Q63+INPUT!R18)</f>
        <v>0</v>
      </c>
      <c r="S62" s="505">
        <f>IF(S23=0,0,R63+INPUT!S18)</f>
        <v>0</v>
      </c>
      <c r="T62" s="505">
        <f>IF(T23=0,0,S63+INPUT!T18)</f>
        <v>0</v>
      </c>
      <c r="U62" s="505">
        <f>IF(U23=0,0,T63+INPUT!U18)</f>
        <v>0</v>
      </c>
      <c r="V62" s="505">
        <f>IF(V23=0,0,U63+INPUT!V18)</f>
        <v>0</v>
      </c>
      <c r="W62" s="446"/>
      <c r="X62" s="446"/>
      <c r="Y62" s="446"/>
      <c r="Z62" s="446"/>
      <c r="AA62" s="446"/>
      <c r="AB62" s="446"/>
      <c r="AC62" s="446"/>
    </row>
    <row r="63" spans="1:29" x14ac:dyDescent="0.2">
      <c r="A63" s="447" t="s">
        <v>263</v>
      </c>
      <c r="B63" s="503" t="s">
        <v>324</v>
      </c>
      <c r="C63" s="183"/>
      <c r="D63" s="183"/>
      <c r="E63" s="183"/>
      <c r="F63" s="512"/>
      <c r="G63" s="183">
        <v>2</v>
      </c>
      <c r="H63" s="183">
        <v>2.6</v>
      </c>
      <c r="I63" s="183">
        <v>4</v>
      </c>
      <c r="J63" s="183">
        <v>4.5</v>
      </c>
      <c r="K63" s="183">
        <v>5</v>
      </c>
      <c r="L63" s="183">
        <v>5.25</v>
      </c>
      <c r="M63" s="183">
        <v>5.3</v>
      </c>
      <c r="N63" s="183"/>
      <c r="O63" s="183"/>
      <c r="P63" s="183"/>
      <c r="Q63" s="183"/>
      <c r="R63" s="183"/>
      <c r="S63" s="183"/>
      <c r="T63" s="183"/>
      <c r="U63" s="183"/>
      <c r="V63" s="183"/>
      <c r="W63" s="420">
        <v>0</v>
      </c>
      <c r="X63" s="420">
        <v>0</v>
      </c>
      <c r="Y63" s="420">
        <v>0</v>
      </c>
      <c r="Z63" s="420">
        <v>0</v>
      </c>
      <c r="AA63" s="420">
        <v>0</v>
      </c>
      <c r="AB63" s="420">
        <v>0</v>
      </c>
      <c r="AC63" s="420" t="s">
        <v>360</v>
      </c>
    </row>
    <row r="64" spans="1:29" x14ac:dyDescent="0.2">
      <c r="A64" s="446"/>
      <c r="B64" s="446"/>
      <c r="C64" s="501"/>
      <c r="D64" s="420"/>
      <c r="E64" s="501"/>
      <c r="F64" s="501"/>
      <c r="G64" s="501"/>
      <c r="H64" s="501"/>
      <c r="I64" s="501"/>
      <c r="J64" s="501"/>
      <c r="K64" s="501"/>
      <c r="L64" s="501"/>
      <c r="M64" s="501"/>
      <c r="N64" s="501"/>
      <c r="O64" s="501"/>
      <c r="P64" s="501"/>
      <c r="Q64" s="501"/>
      <c r="R64" s="501"/>
      <c r="S64" s="501"/>
      <c r="T64" s="501"/>
      <c r="U64" s="501"/>
      <c r="V64" s="501"/>
      <c r="W64" s="446"/>
      <c r="X64" s="446"/>
      <c r="Y64" s="446"/>
      <c r="Z64" s="446"/>
      <c r="AA64" s="446"/>
      <c r="AB64" s="446"/>
      <c r="AC64" s="446"/>
    </row>
    <row r="65" spans="1:29" x14ac:dyDescent="0.2">
      <c r="A65" s="447" t="s">
        <v>325</v>
      </c>
      <c r="B65" s="507" t="s">
        <v>681</v>
      </c>
      <c r="C65" s="484">
        <f>C61+C62-C63</f>
        <v>0.03</v>
      </c>
      <c r="D65" s="484">
        <f>D61+D62-D63</f>
        <v>0.02</v>
      </c>
      <c r="E65" s="484">
        <f>E61+E62-E63</f>
        <v>0.02</v>
      </c>
      <c r="F65" s="484">
        <f t="shared" ref="F65:P65" si="21">F61+F62-F63</f>
        <v>0.02</v>
      </c>
      <c r="G65" s="484">
        <f t="shared" si="21"/>
        <v>11.86</v>
      </c>
      <c r="H65" s="484">
        <f t="shared" si="21"/>
        <v>22.88</v>
      </c>
      <c r="I65" s="484">
        <f t="shared" si="21"/>
        <v>27.360000000000003</v>
      </c>
      <c r="J65" s="484">
        <f t="shared" si="21"/>
        <v>29.78</v>
      </c>
      <c r="K65" s="484">
        <f t="shared" si="21"/>
        <v>32.28</v>
      </c>
      <c r="L65" s="484">
        <f t="shared" si="21"/>
        <v>34.770000000000003</v>
      </c>
      <c r="M65" s="484">
        <f t="shared" si="21"/>
        <v>37.120000000000005</v>
      </c>
      <c r="N65" s="484">
        <f t="shared" si="21"/>
        <v>0</v>
      </c>
      <c r="O65" s="484">
        <f t="shared" si="21"/>
        <v>0</v>
      </c>
      <c r="P65" s="484">
        <f t="shared" si="21"/>
        <v>0</v>
      </c>
      <c r="Q65" s="484">
        <f t="shared" ref="Q65:V65" si="22">Q61+Q62-Q63</f>
        <v>0</v>
      </c>
      <c r="R65" s="484">
        <f t="shared" si="22"/>
        <v>0</v>
      </c>
      <c r="S65" s="484">
        <f t="shared" si="22"/>
        <v>0</v>
      </c>
      <c r="T65" s="484">
        <f t="shared" si="22"/>
        <v>0</v>
      </c>
      <c r="U65" s="484">
        <f t="shared" si="22"/>
        <v>0</v>
      </c>
      <c r="V65" s="484">
        <f t="shared" si="22"/>
        <v>0</v>
      </c>
      <c r="W65" s="446"/>
      <c r="X65" s="446"/>
      <c r="Y65" s="446"/>
      <c r="Z65" s="446"/>
      <c r="AA65" s="446"/>
      <c r="AB65" s="446"/>
      <c r="AC65" s="446"/>
    </row>
    <row r="66" spans="1:29" x14ac:dyDescent="0.2">
      <c r="A66" s="446"/>
      <c r="B66" s="446"/>
      <c r="C66" s="504"/>
      <c r="D66" s="504"/>
      <c r="E66" s="504"/>
      <c r="F66" s="504"/>
      <c r="G66" s="504"/>
      <c r="H66" s="504"/>
      <c r="I66" s="504"/>
      <c r="J66" s="504"/>
      <c r="K66" s="504"/>
      <c r="L66" s="504"/>
      <c r="M66" s="504"/>
      <c r="N66" s="504"/>
      <c r="O66" s="504"/>
      <c r="P66" s="504"/>
      <c r="Q66" s="504"/>
      <c r="R66" s="504"/>
      <c r="S66" s="504"/>
      <c r="T66" s="504"/>
      <c r="U66" s="504"/>
      <c r="V66" s="504"/>
      <c r="W66" s="499">
        <v>0.56503554997908823</v>
      </c>
      <c r="X66" s="499">
        <v>0.7095684803001876</v>
      </c>
      <c r="Y66" s="499">
        <v>0.72191544190524737</v>
      </c>
      <c r="Z66" s="499">
        <v>0.7418733201480805</v>
      </c>
      <c r="AA66" s="499">
        <v>0.76149529326574938</v>
      </c>
      <c r="AB66" s="499">
        <v>0.78068410462776661</v>
      </c>
      <c r="AC66" s="499" t="s">
        <v>360</v>
      </c>
    </row>
    <row r="67" spans="1:29" x14ac:dyDescent="0.2">
      <c r="A67" s="446">
        <v>6</v>
      </c>
      <c r="B67" s="513" t="s">
        <v>326</v>
      </c>
      <c r="C67" s="183">
        <v>0.67</v>
      </c>
      <c r="D67" s="512">
        <v>0.9</v>
      </c>
      <c r="E67" s="512">
        <v>1.75</v>
      </c>
      <c r="F67" s="512">
        <v>3.2</v>
      </c>
      <c r="G67" s="183">
        <f>(G14*80%)+2.41</f>
        <v>6.41</v>
      </c>
      <c r="H67" s="183">
        <f>(H14*80%)+3.72</f>
        <v>8.5200000000000014</v>
      </c>
      <c r="I67" s="183">
        <f>(I14*80%)+4.15</f>
        <v>9.75</v>
      </c>
      <c r="J67" s="183">
        <f>(J14*80%)+4.37</f>
        <v>10.850000000000001</v>
      </c>
      <c r="K67" s="183">
        <f>(K14*80%)+4.6</f>
        <v>12.120000000000001</v>
      </c>
      <c r="L67" s="183">
        <f>(L14*80%)+4.87</f>
        <v>13.59</v>
      </c>
      <c r="M67" s="183">
        <f>(M14*80%)+5.15</f>
        <v>15.15</v>
      </c>
      <c r="N67" s="183"/>
      <c r="O67" s="183"/>
      <c r="P67" s="183"/>
      <c r="Q67" s="183"/>
      <c r="R67" s="183"/>
      <c r="S67" s="183"/>
      <c r="T67" s="183"/>
      <c r="U67" s="183"/>
      <c r="V67" s="183"/>
      <c r="W67" s="499">
        <v>7.1697436816633806E-2</v>
      </c>
      <c r="X67" s="499">
        <v>4.6051509466143614E-2</v>
      </c>
      <c r="Y67" s="499">
        <v>4.2477274658057937E-2</v>
      </c>
      <c r="Z67" s="499">
        <v>3.8034383082306403E-2</v>
      </c>
      <c r="AA67" s="499">
        <v>3.3942795076031859E-2</v>
      </c>
      <c r="AB67" s="499">
        <v>3.0181086519114688E-2</v>
      </c>
      <c r="AC67" s="499" t="s">
        <v>677</v>
      </c>
    </row>
    <row r="68" spans="1:29" x14ac:dyDescent="0.2">
      <c r="A68" s="446"/>
      <c r="B68" s="446"/>
      <c r="C68" s="501"/>
      <c r="D68" s="501"/>
      <c r="E68" s="501"/>
      <c r="F68" s="501"/>
      <c r="G68" s="501"/>
      <c r="H68" s="501"/>
      <c r="I68" s="501"/>
      <c r="J68" s="501"/>
      <c r="K68" s="501"/>
      <c r="L68" s="501"/>
      <c r="M68" s="501"/>
      <c r="N68" s="501"/>
      <c r="O68" s="501"/>
      <c r="P68" s="501"/>
      <c r="Q68" s="501"/>
      <c r="R68" s="501"/>
      <c r="S68" s="501"/>
      <c r="T68" s="501"/>
      <c r="U68" s="501"/>
      <c r="V68" s="501"/>
      <c r="W68" s="446"/>
      <c r="X68" s="446"/>
      <c r="Y68" s="446"/>
      <c r="Z68" s="446"/>
      <c r="AA68" s="446"/>
      <c r="AB68" s="446"/>
      <c r="AC68" s="446"/>
    </row>
    <row r="69" spans="1:29" x14ac:dyDescent="0.2">
      <c r="A69" s="446">
        <v>7</v>
      </c>
      <c r="B69" s="474" t="s">
        <v>327</v>
      </c>
      <c r="C69" s="502">
        <f>C65+C67</f>
        <v>0.70000000000000007</v>
      </c>
      <c r="D69" s="502">
        <f>D65+D67</f>
        <v>0.92</v>
      </c>
      <c r="E69" s="502">
        <f t="shared" ref="E69:P69" si="23">E65+E67</f>
        <v>1.77</v>
      </c>
      <c r="F69" s="502">
        <f t="shared" si="23"/>
        <v>3.22</v>
      </c>
      <c r="G69" s="502">
        <f t="shared" si="23"/>
        <v>18.27</v>
      </c>
      <c r="H69" s="502">
        <f t="shared" si="23"/>
        <v>31.4</v>
      </c>
      <c r="I69" s="502">
        <f t="shared" si="23"/>
        <v>37.11</v>
      </c>
      <c r="J69" s="502">
        <f t="shared" si="23"/>
        <v>40.630000000000003</v>
      </c>
      <c r="K69" s="502">
        <f t="shared" si="23"/>
        <v>44.400000000000006</v>
      </c>
      <c r="L69" s="502">
        <f t="shared" si="23"/>
        <v>48.36</v>
      </c>
      <c r="M69" s="502">
        <f t="shared" si="23"/>
        <v>52.27</v>
      </c>
      <c r="N69" s="502">
        <f t="shared" si="23"/>
        <v>0</v>
      </c>
      <c r="O69" s="502">
        <f t="shared" si="23"/>
        <v>0</v>
      </c>
      <c r="P69" s="502">
        <f t="shared" si="23"/>
        <v>0</v>
      </c>
      <c r="Q69" s="502">
        <f t="shared" ref="Q69:V69" si="24">Q65+Q67</f>
        <v>0</v>
      </c>
      <c r="R69" s="502">
        <f t="shared" si="24"/>
        <v>0</v>
      </c>
      <c r="S69" s="502">
        <f t="shared" si="24"/>
        <v>0</v>
      </c>
      <c r="T69" s="502">
        <f t="shared" si="24"/>
        <v>0</v>
      </c>
      <c r="U69" s="502">
        <f t="shared" si="24"/>
        <v>0</v>
      </c>
      <c r="V69" s="502">
        <f t="shared" si="24"/>
        <v>0</v>
      </c>
      <c r="W69" s="446"/>
      <c r="X69" s="446"/>
      <c r="Y69" s="446"/>
      <c r="Z69" s="446"/>
      <c r="AA69" s="446"/>
      <c r="AB69" s="446"/>
      <c r="AC69" s="446"/>
    </row>
    <row r="70" spans="1:29" x14ac:dyDescent="0.2">
      <c r="A70" s="446"/>
      <c r="B70" s="446"/>
      <c r="C70" s="501"/>
      <c r="D70" s="501"/>
      <c r="E70" s="501"/>
      <c r="F70" s="514"/>
      <c r="G70" s="514"/>
      <c r="H70" s="514"/>
      <c r="I70" s="501"/>
      <c r="J70" s="501"/>
      <c r="K70" s="501"/>
      <c r="L70" s="501"/>
      <c r="M70" s="501"/>
      <c r="N70" s="501"/>
      <c r="O70" s="501"/>
      <c r="P70" s="501"/>
      <c r="Q70" s="501"/>
      <c r="R70" s="501"/>
      <c r="S70" s="501"/>
      <c r="T70" s="501"/>
      <c r="U70" s="501"/>
      <c r="V70" s="501"/>
      <c r="W70" s="446"/>
      <c r="X70" s="446"/>
      <c r="Y70" s="446"/>
      <c r="Z70" s="446"/>
      <c r="AA70" s="446"/>
      <c r="AB70" s="446"/>
      <c r="AC70" s="446"/>
    </row>
    <row r="71" spans="1:29" x14ac:dyDescent="0.2">
      <c r="A71" s="446">
        <v>8</v>
      </c>
      <c r="B71" s="503" t="s">
        <v>328</v>
      </c>
      <c r="C71" s="502">
        <f>C23-C69</f>
        <v>9.9999999999999978E-2</v>
      </c>
      <c r="D71" s="502">
        <f t="shared" ref="D71:P71" si="25">D23-D69</f>
        <v>0.13</v>
      </c>
      <c r="E71" s="502">
        <f t="shared" si="25"/>
        <v>0.43000000000000016</v>
      </c>
      <c r="F71" s="502">
        <f t="shared" si="25"/>
        <v>0.7799999999999998</v>
      </c>
      <c r="G71" s="502">
        <f t="shared" si="25"/>
        <v>1.7300000000000004</v>
      </c>
      <c r="H71" s="502">
        <f t="shared" si="25"/>
        <v>2.8800000000000026</v>
      </c>
      <c r="I71" s="502">
        <f t="shared" si="25"/>
        <v>3.3100000000000023</v>
      </c>
      <c r="J71" s="502">
        <f t="shared" si="25"/>
        <v>3.4600000000000009</v>
      </c>
      <c r="K71" s="502">
        <f t="shared" si="25"/>
        <v>3.5599999999999952</v>
      </c>
      <c r="L71" s="502">
        <f t="shared" si="25"/>
        <v>3.6700000000000017</v>
      </c>
      <c r="M71" s="502">
        <f t="shared" si="25"/>
        <v>3.9299999999999997</v>
      </c>
      <c r="N71" s="502">
        <f t="shared" si="25"/>
        <v>0</v>
      </c>
      <c r="O71" s="502">
        <f t="shared" si="25"/>
        <v>0</v>
      </c>
      <c r="P71" s="502">
        <f t="shared" si="25"/>
        <v>0</v>
      </c>
      <c r="Q71" s="502">
        <f t="shared" ref="Q71:V71" si="26">Q23-Q69</f>
        <v>0</v>
      </c>
      <c r="R71" s="502">
        <f t="shared" si="26"/>
        <v>0</v>
      </c>
      <c r="S71" s="502">
        <f t="shared" si="26"/>
        <v>0</v>
      </c>
      <c r="T71" s="502">
        <f t="shared" si="26"/>
        <v>0</v>
      </c>
      <c r="U71" s="502">
        <f t="shared" si="26"/>
        <v>0</v>
      </c>
      <c r="V71" s="502">
        <f t="shared" si="26"/>
        <v>0</v>
      </c>
      <c r="W71" s="499">
        <v>0.49333811316245446</v>
      </c>
      <c r="X71" s="499">
        <v>0.66351697083404404</v>
      </c>
      <c r="Y71" s="499">
        <v>0.67943816724718942</v>
      </c>
      <c r="Z71" s="499">
        <v>0.70383893706577405</v>
      </c>
      <c r="AA71" s="499">
        <v>0.72755249818971757</v>
      </c>
      <c r="AB71" s="499">
        <v>0.75050301810865194</v>
      </c>
      <c r="AC71" s="499" t="s">
        <v>360</v>
      </c>
    </row>
    <row r="72" spans="1:29" x14ac:dyDescent="0.2">
      <c r="A72" s="446"/>
      <c r="B72" s="446"/>
      <c r="C72" s="501"/>
      <c r="D72" s="501"/>
      <c r="E72" s="501"/>
      <c r="F72" s="501"/>
      <c r="G72" s="501"/>
      <c r="H72" s="501"/>
      <c r="I72" s="501"/>
      <c r="J72" s="501"/>
      <c r="K72" s="501"/>
      <c r="L72" s="501"/>
      <c r="M72" s="501"/>
      <c r="N72" s="501"/>
      <c r="O72" s="501"/>
      <c r="P72" s="501"/>
      <c r="Q72" s="501"/>
      <c r="R72" s="501"/>
      <c r="S72" s="501"/>
      <c r="T72" s="501"/>
      <c r="U72" s="501"/>
      <c r="V72" s="501"/>
      <c r="W72" s="446"/>
      <c r="X72" s="446"/>
      <c r="Y72" s="446"/>
      <c r="Z72" s="446"/>
      <c r="AA72" s="446"/>
      <c r="AB72" s="446"/>
      <c r="AC72" s="446"/>
    </row>
    <row r="73" spans="1:29" x14ac:dyDescent="0.2">
      <c r="A73" s="446">
        <v>9</v>
      </c>
      <c r="B73" s="446" t="s">
        <v>329</v>
      </c>
      <c r="C73" s="183"/>
      <c r="D73" s="183"/>
      <c r="E73" s="183">
        <v>0.05</v>
      </c>
      <c r="F73" s="183">
        <v>0.47</v>
      </c>
      <c r="G73" s="183">
        <f>0.27+0.64</f>
        <v>0.91</v>
      </c>
      <c r="H73" s="183">
        <f>0.08+'INTT &amp; REPAY'!G6</f>
        <v>1.1492750000000003</v>
      </c>
      <c r="I73" s="183">
        <f>'INTT &amp; REPAY'!H6</f>
        <v>0.96513000000000082</v>
      </c>
      <c r="J73" s="183">
        <f>'INTT &amp; REPAY'!I6</f>
        <v>0.83753250000000101</v>
      </c>
      <c r="K73" s="183">
        <f>'INTT &amp; REPAY'!J6</f>
        <v>0.681315000000001</v>
      </c>
      <c r="L73" s="183">
        <f>'INTT &amp; REPAY'!K6</f>
        <v>0.50085000000000091</v>
      </c>
      <c r="M73" s="183">
        <f>'INTT &amp; REPAY'!L6</f>
        <v>0.28818750000000093</v>
      </c>
      <c r="N73" s="183"/>
      <c r="O73" s="183"/>
      <c r="P73" s="183"/>
      <c r="Q73" s="183"/>
      <c r="R73" s="183"/>
      <c r="S73" s="183"/>
      <c r="T73" s="183"/>
      <c r="U73" s="183"/>
      <c r="V73" s="183"/>
      <c r="W73" s="499">
        <v>0.33769492740634521</v>
      </c>
      <c r="X73" s="499">
        <v>0.21555517653078629</v>
      </c>
      <c r="Y73" s="499">
        <v>0.13955200634327303</v>
      </c>
      <c r="Z73" s="499">
        <v>8.9659719052690295E-2</v>
      </c>
      <c r="AA73" s="499">
        <v>4.8538196958725556E-2</v>
      </c>
      <c r="AB73" s="499">
        <v>1.517102615694165E-2</v>
      </c>
      <c r="AC73" s="499" t="s">
        <v>677</v>
      </c>
    </row>
    <row r="74" spans="1:29" x14ac:dyDescent="0.2">
      <c r="A74" s="446"/>
      <c r="B74" s="446"/>
      <c r="C74" s="501"/>
      <c r="D74" s="501"/>
      <c r="E74" s="501"/>
      <c r="F74" s="501"/>
      <c r="G74" s="501"/>
      <c r="H74" s="501"/>
      <c r="I74" s="501"/>
      <c r="J74" s="501"/>
      <c r="K74" s="501"/>
      <c r="L74" s="501"/>
      <c r="M74" s="501"/>
      <c r="N74" s="501"/>
      <c r="O74" s="501"/>
      <c r="P74" s="501"/>
      <c r="Q74" s="501"/>
      <c r="R74" s="501"/>
      <c r="S74" s="501"/>
      <c r="T74" s="501"/>
      <c r="U74" s="501"/>
      <c r="V74" s="501"/>
      <c r="W74" s="446"/>
      <c r="X74" s="446"/>
      <c r="Y74" s="446"/>
      <c r="Z74" s="446"/>
      <c r="AA74" s="446"/>
      <c r="AB74" s="446"/>
      <c r="AC74" s="446"/>
    </row>
    <row r="75" spans="1:29" x14ac:dyDescent="0.2">
      <c r="A75" s="446">
        <v>10</v>
      </c>
      <c r="B75" s="503" t="s">
        <v>330</v>
      </c>
      <c r="C75" s="484">
        <f>C71-C73</f>
        <v>9.9999999999999978E-2</v>
      </c>
      <c r="D75" s="484">
        <f t="shared" ref="D75:P75" si="27">D71-D73</f>
        <v>0.13</v>
      </c>
      <c r="E75" s="484">
        <f t="shared" si="27"/>
        <v>0.38000000000000017</v>
      </c>
      <c r="F75" s="484">
        <f t="shared" si="27"/>
        <v>0.30999999999999983</v>
      </c>
      <c r="G75" s="484">
        <f t="shared" si="27"/>
        <v>0.8200000000000004</v>
      </c>
      <c r="H75" s="484">
        <f t="shared" si="27"/>
        <v>1.7307250000000023</v>
      </c>
      <c r="I75" s="484">
        <f t="shared" si="27"/>
        <v>2.3448700000000016</v>
      </c>
      <c r="J75" s="484">
        <f t="shared" si="27"/>
        <v>2.6224675</v>
      </c>
      <c r="K75" s="484">
        <f t="shared" si="27"/>
        <v>2.8786849999999942</v>
      </c>
      <c r="L75" s="484">
        <f t="shared" si="27"/>
        <v>3.169150000000001</v>
      </c>
      <c r="M75" s="484">
        <f t="shared" si="27"/>
        <v>3.6418124999999986</v>
      </c>
      <c r="N75" s="484">
        <f t="shared" si="27"/>
        <v>0</v>
      </c>
      <c r="O75" s="484">
        <f t="shared" si="27"/>
        <v>0</v>
      </c>
      <c r="P75" s="484">
        <f t="shared" si="27"/>
        <v>0</v>
      </c>
      <c r="Q75" s="484">
        <f t="shared" ref="Q75:V75" si="28">Q71-Q73</f>
        <v>0</v>
      </c>
      <c r="R75" s="484">
        <f t="shared" si="28"/>
        <v>0</v>
      </c>
      <c r="S75" s="484">
        <f t="shared" si="28"/>
        <v>0</v>
      </c>
      <c r="T75" s="484">
        <f t="shared" si="28"/>
        <v>0</v>
      </c>
      <c r="U75" s="484">
        <f t="shared" si="28"/>
        <v>0</v>
      </c>
      <c r="V75" s="484">
        <f t="shared" si="28"/>
        <v>0</v>
      </c>
      <c r="W75" s="499">
        <v>0.15564318575610925</v>
      </c>
      <c r="X75" s="499">
        <v>0.44796179430325772</v>
      </c>
      <c r="Y75" s="499">
        <v>0.53988616090391639</v>
      </c>
      <c r="Z75" s="499">
        <v>0.61417921801308373</v>
      </c>
      <c r="AA75" s="499">
        <v>0.67901430123099205</v>
      </c>
      <c r="AB75" s="499">
        <v>0.73533199195171017</v>
      </c>
      <c r="AC75" s="499" t="s">
        <v>360</v>
      </c>
    </row>
    <row r="76" spans="1:29" x14ac:dyDescent="0.2">
      <c r="A76" s="446">
        <v>11</v>
      </c>
      <c r="B76" s="507" t="s">
        <v>331</v>
      </c>
      <c r="C76" s="504"/>
      <c r="D76" s="504"/>
      <c r="E76" s="504"/>
      <c r="F76" s="504"/>
      <c r="G76" s="504"/>
      <c r="H76" s="505"/>
      <c r="I76" s="504"/>
      <c r="J76" s="504"/>
      <c r="K76" s="504"/>
      <c r="L76" s="504"/>
      <c r="M76" s="504"/>
      <c r="N76" s="504"/>
      <c r="O76" s="504"/>
      <c r="P76" s="504"/>
      <c r="Q76" s="504"/>
      <c r="R76" s="504"/>
      <c r="S76" s="504"/>
      <c r="T76" s="504"/>
      <c r="U76" s="504"/>
      <c r="V76" s="504"/>
      <c r="W76" s="446"/>
      <c r="X76" s="446"/>
      <c r="Y76" s="446"/>
      <c r="Z76" s="446"/>
      <c r="AA76" s="446"/>
      <c r="AB76" s="446"/>
      <c r="AC76" s="446"/>
    </row>
    <row r="77" spans="1:29" x14ac:dyDescent="0.2">
      <c r="A77" s="480" t="s">
        <v>254</v>
      </c>
      <c r="B77" s="474" t="s">
        <v>332</v>
      </c>
      <c r="C77" s="501"/>
      <c r="D77" s="501"/>
      <c r="E77" s="501"/>
      <c r="F77" s="501"/>
      <c r="G77" s="501"/>
      <c r="H77" s="515"/>
      <c r="I77" s="501"/>
      <c r="J77" s="501"/>
      <c r="K77" s="501"/>
      <c r="L77" s="501"/>
      <c r="M77" s="501"/>
      <c r="N77" s="501"/>
      <c r="O77" s="501"/>
      <c r="P77" s="501"/>
      <c r="Q77" s="501"/>
      <c r="R77" s="501"/>
      <c r="S77" s="501"/>
      <c r="T77" s="501"/>
      <c r="U77" s="501"/>
      <c r="V77" s="501"/>
      <c r="W77" s="446"/>
      <c r="X77" s="446"/>
      <c r="Y77" s="446"/>
      <c r="Z77" s="446"/>
      <c r="AA77" s="446"/>
      <c r="AB77" s="446"/>
      <c r="AC77" s="446"/>
    </row>
    <row r="78" spans="1:29" x14ac:dyDescent="0.2">
      <c r="A78" s="446" t="s">
        <v>333</v>
      </c>
      <c r="B78" s="198"/>
      <c r="C78" s="183"/>
      <c r="D78" s="183"/>
      <c r="E78" s="183"/>
      <c r="F78" s="183"/>
      <c r="G78" s="183"/>
      <c r="H78" s="183"/>
      <c r="I78" s="183"/>
      <c r="J78" s="183"/>
      <c r="K78" s="183"/>
      <c r="L78" s="183"/>
      <c r="M78" s="183"/>
      <c r="N78" s="183"/>
      <c r="O78" s="183"/>
      <c r="P78" s="183"/>
      <c r="Q78" s="183"/>
      <c r="R78" s="183"/>
      <c r="S78" s="183"/>
      <c r="T78" s="183"/>
      <c r="U78" s="183"/>
      <c r="V78" s="183"/>
      <c r="W78" s="446"/>
      <c r="X78" s="446"/>
      <c r="Y78" s="446"/>
      <c r="Z78" s="446"/>
      <c r="AA78" s="446"/>
      <c r="AB78" s="446"/>
      <c r="AC78" s="446"/>
    </row>
    <row r="79" spans="1:29" x14ac:dyDescent="0.2">
      <c r="A79" s="446" t="s">
        <v>334</v>
      </c>
      <c r="B79" s="198"/>
      <c r="C79" s="183"/>
      <c r="D79" s="183"/>
      <c r="E79" s="183"/>
      <c r="F79" s="183"/>
      <c r="G79" s="183"/>
      <c r="H79" s="183"/>
      <c r="I79" s="183"/>
      <c r="J79" s="183"/>
      <c r="K79" s="183"/>
      <c r="L79" s="183"/>
      <c r="M79" s="183"/>
      <c r="N79" s="183"/>
      <c r="O79" s="183"/>
      <c r="P79" s="183"/>
      <c r="Q79" s="183"/>
      <c r="R79" s="183"/>
      <c r="S79" s="183"/>
      <c r="T79" s="183"/>
      <c r="U79" s="183"/>
      <c r="V79" s="183"/>
      <c r="W79" s="446"/>
      <c r="X79" s="446"/>
      <c r="Y79" s="446"/>
      <c r="Z79" s="446"/>
      <c r="AA79" s="446"/>
      <c r="AB79" s="446"/>
      <c r="AC79" s="446"/>
    </row>
    <row r="80" spans="1:29" x14ac:dyDescent="0.2">
      <c r="A80" s="503" t="s">
        <v>335</v>
      </c>
      <c r="B80" s="198"/>
      <c r="C80" s="183"/>
      <c r="D80" s="183"/>
      <c r="E80" s="183"/>
      <c r="F80" s="183"/>
      <c r="G80" s="183"/>
      <c r="H80" s="183"/>
      <c r="I80" s="183"/>
      <c r="J80" s="183"/>
      <c r="K80" s="183"/>
      <c r="L80" s="183"/>
      <c r="M80" s="183"/>
      <c r="N80" s="183"/>
      <c r="O80" s="183"/>
      <c r="P80" s="183"/>
      <c r="Q80" s="183"/>
      <c r="R80" s="183"/>
      <c r="S80" s="183"/>
      <c r="T80" s="183"/>
      <c r="U80" s="183"/>
      <c r="V80" s="183"/>
      <c r="W80" s="446"/>
      <c r="X80" s="446"/>
      <c r="Y80" s="446"/>
      <c r="Z80" s="446"/>
      <c r="AA80" s="446"/>
      <c r="AB80" s="446"/>
      <c r="AC80" s="446"/>
    </row>
    <row r="81" spans="1:29" x14ac:dyDescent="0.2">
      <c r="A81" s="446" t="s">
        <v>336</v>
      </c>
      <c r="B81" s="198"/>
      <c r="C81" s="183"/>
      <c r="D81" s="183"/>
      <c r="E81" s="183"/>
      <c r="F81" s="183"/>
      <c r="G81" s="183"/>
      <c r="H81" s="190"/>
      <c r="I81" s="183"/>
      <c r="J81" s="183"/>
      <c r="K81" s="183"/>
      <c r="L81" s="183"/>
      <c r="M81" s="183"/>
      <c r="N81" s="183"/>
      <c r="O81" s="183"/>
      <c r="P81" s="183"/>
      <c r="Q81" s="183"/>
      <c r="R81" s="183"/>
      <c r="S81" s="183"/>
      <c r="T81" s="183"/>
      <c r="U81" s="183"/>
      <c r="V81" s="183"/>
      <c r="W81" s="446"/>
      <c r="X81" s="446"/>
      <c r="Y81" s="446"/>
      <c r="Z81" s="446"/>
      <c r="AA81" s="446"/>
      <c r="AB81" s="446"/>
      <c r="AC81" s="446"/>
    </row>
    <row r="82" spans="1:29" x14ac:dyDescent="0.2">
      <c r="A82" s="446" t="s">
        <v>337</v>
      </c>
      <c r="B82" s="446" t="s">
        <v>338</v>
      </c>
      <c r="C82" s="487">
        <f>SUM(C78:C81)</f>
        <v>0</v>
      </c>
      <c r="D82" s="487">
        <f t="shared" ref="D82:P82" si="29">SUM(D78:D81)</f>
        <v>0</v>
      </c>
      <c r="E82" s="487">
        <f t="shared" si="29"/>
        <v>0</v>
      </c>
      <c r="F82" s="487">
        <f t="shared" si="29"/>
        <v>0</v>
      </c>
      <c r="G82" s="487">
        <f t="shared" si="29"/>
        <v>0</v>
      </c>
      <c r="H82" s="487">
        <f t="shared" si="29"/>
        <v>0</v>
      </c>
      <c r="I82" s="487">
        <f t="shared" si="29"/>
        <v>0</v>
      </c>
      <c r="J82" s="487">
        <f t="shared" si="29"/>
        <v>0</v>
      </c>
      <c r="K82" s="487">
        <f t="shared" si="29"/>
        <v>0</v>
      </c>
      <c r="L82" s="487">
        <f t="shared" si="29"/>
        <v>0</v>
      </c>
      <c r="M82" s="487">
        <f t="shared" si="29"/>
        <v>0</v>
      </c>
      <c r="N82" s="487">
        <f t="shared" si="29"/>
        <v>0</v>
      </c>
      <c r="O82" s="487">
        <f t="shared" si="29"/>
        <v>0</v>
      </c>
      <c r="P82" s="487">
        <f t="shared" si="29"/>
        <v>0</v>
      </c>
      <c r="Q82" s="487">
        <f t="shared" ref="Q82:V82" si="30">SUM(Q78:Q81)</f>
        <v>0</v>
      </c>
      <c r="R82" s="487">
        <f t="shared" si="30"/>
        <v>0</v>
      </c>
      <c r="S82" s="487">
        <f t="shared" si="30"/>
        <v>0</v>
      </c>
      <c r="T82" s="487">
        <f t="shared" si="30"/>
        <v>0</v>
      </c>
      <c r="U82" s="487">
        <f t="shared" si="30"/>
        <v>0</v>
      </c>
      <c r="V82" s="487">
        <f t="shared" si="30"/>
        <v>0</v>
      </c>
      <c r="W82" s="446"/>
      <c r="X82" s="446"/>
      <c r="Y82" s="446"/>
      <c r="Z82" s="446"/>
      <c r="AA82" s="446"/>
      <c r="AB82" s="446"/>
      <c r="AC82" s="446"/>
    </row>
    <row r="83" spans="1:29" x14ac:dyDescent="0.2">
      <c r="A83" s="476" t="s">
        <v>255</v>
      </c>
      <c r="B83" s="507" t="s">
        <v>339</v>
      </c>
      <c r="C83" s="504"/>
      <c r="D83" s="504"/>
      <c r="E83" s="504"/>
      <c r="F83" s="504"/>
      <c r="G83" s="504"/>
      <c r="H83" s="504"/>
      <c r="I83" s="504"/>
      <c r="J83" s="504"/>
      <c r="K83" s="504"/>
      <c r="L83" s="504"/>
      <c r="M83" s="504"/>
      <c r="N83" s="504"/>
      <c r="O83" s="504"/>
      <c r="P83" s="504"/>
      <c r="Q83" s="504"/>
      <c r="R83" s="504"/>
      <c r="S83" s="504"/>
      <c r="T83" s="504"/>
      <c r="U83" s="504"/>
      <c r="V83" s="504"/>
      <c r="W83" s="446"/>
      <c r="X83" s="446"/>
      <c r="Y83" s="446"/>
      <c r="Z83" s="446"/>
      <c r="AA83" s="446"/>
      <c r="AB83" s="446"/>
      <c r="AC83" s="446"/>
    </row>
    <row r="84" spans="1:29" x14ac:dyDescent="0.2">
      <c r="A84" s="446" t="s">
        <v>333</v>
      </c>
      <c r="B84" s="446" t="s">
        <v>340</v>
      </c>
      <c r="C84" s="516"/>
      <c r="D84" s="516"/>
      <c r="E84" s="516"/>
      <c r="F84" s="516"/>
      <c r="G84" s="516">
        <v>0.02</v>
      </c>
      <c r="H84" s="516">
        <v>0.02</v>
      </c>
      <c r="I84" s="516">
        <v>0.02</v>
      </c>
      <c r="J84" s="516">
        <v>0.02</v>
      </c>
      <c r="K84" s="516">
        <v>0.02</v>
      </c>
      <c r="L84" s="516"/>
      <c r="M84" s="183"/>
      <c r="N84" s="183"/>
      <c r="O84" s="183"/>
      <c r="P84" s="183"/>
      <c r="Q84" s="183"/>
      <c r="R84" s="183"/>
      <c r="S84" s="183"/>
      <c r="T84" s="183"/>
      <c r="U84" s="183"/>
      <c r="V84" s="183"/>
      <c r="W84" s="446"/>
      <c r="X84" s="446"/>
      <c r="Y84" s="446"/>
      <c r="Z84" s="446"/>
      <c r="AA84" s="446"/>
      <c r="AB84" s="446"/>
      <c r="AC84" s="446"/>
    </row>
    <row r="85" spans="1:29" x14ac:dyDescent="0.2">
      <c r="A85" s="446" t="s">
        <v>334</v>
      </c>
      <c r="B85" s="456" t="s">
        <v>771</v>
      </c>
      <c r="C85" s="183"/>
      <c r="D85" s="183"/>
      <c r="E85" s="183"/>
      <c r="F85" s="183"/>
      <c r="G85" s="183"/>
      <c r="H85" s="183"/>
      <c r="I85" s="183"/>
      <c r="J85" s="183"/>
      <c r="K85" s="183"/>
      <c r="L85" s="183"/>
      <c r="M85" s="183"/>
      <c r="N85" s="183"/>
      <c r="O85" s="183"/>
      <c r="P85" s="183"/>
      <c r="Q85" s="183"/>
      <c r="R85" s="183"/>
      <c r="S85" s="183"/>
      <c r="T85" s="183"/>
      <c r="U85" s="183"/>
      <c r="V85" s="183"/>
      <c r="W85" s="446"/>
      <c r="X85" s="446"/>
      <c r="Y85" s="446"/>
      <c r="Z85" s="446"/>
      <c r="AA85" s="446"/>
      <c r="AB85" s="446"/>
      <c r="AC85" s="446"/>
    </row>
    <row r="86" spans="1:29" x14ac:dyDescent="0.2">
      <c r="A86" s="446" t="s">
        <v>335</v>
      </c>
      <c r="B86" s="187"/>
      <c r="C86" s="183"/>
      <c r="D86" s="183"/>
      <c r="E86" s="183"/>
      <c r="F86" s="183"/>
      <c r="G86" s="183"/>
      <c r="H86" s="183"/>
      <c r="I86" s="183"/>
      <c r="J86" s="183"/>
      <c r="K86" s="183"/>
      <c r="L86" s="183"/>
      <c r="M86" s="183"/>
      <c r="N86" s="183"/>
      <c r="O86" s="183"/>
      <c r="P86" s="183"/>
      <c r="Q86" s="183"/>
      <c r="R86" s="183"/>
      <c r="S86" s="183"/>
      <c r="T86" s="183"/>
      <c r="U86" s="183"/>
      <c r="V86" s="183"/>
      <c r="W86" s="446"/>
      <c r="X86" s="446"/>
      <c r="Y86" s="446"/>
      <c r="Z86" s="446"/>
      <c r="AA86" s="446"/>
      <c r="AB86" s="446"/>
      <c r="AC86" s="446"/>
    </row>
    <row r="87" spans="1:29" x14ac:dyDescent="0.2">
      <c r="A87" s="446" t="s">
        <v>336</v>
      </c>
      <c r="B87" s="198"/>
      <c r="C87" s="183"/>
      <c r="D87" s="183"/>
      <c r="E87" s="183"/>
      <c r="F87" s="183"/>
      <c r="G87" s="183"/>
      <c r="H87" s="183"/>
      <c r="I87" s="183"/>
      <c r="J87" s="183"/>
      <c r="K87" s="183"/>
      <c r="L87" s="183"/>
      <c r="M87" s="183"/>
      <c r="N87" s="183"/>
      <c r="O87" s="183"/>
      <c r="P87" s="183"/>
      <c r="Q87" s="183"/>
      <c r="R87" s="183"/>
      <c r="S87" s="183"/>
      <c r="T87" s="183"/>
      <c r="U87" s="183"/>
      <c r="V87" s="183"/>
      <c r="W87" s="446"/>
      <c r="X87" s="446"/>
      <c r="Y87" s="446"/>
      <c r="Z87" s="446"/>
      <c r="AA87" s="446"/>
      <c r="AB87" s="446"/>
      <c r="AC87" s="446"/>
    </row>
    <row r="88" spans="1:29" x14ac:dyDescent="0.2">
      <c r="A88" s="446"/>
      <c r="B88" s="503" t="s">
        <v>341</v>
      </c>
      <c r="C88" s="500">
        <f t="shared" ref="C88:P88" si="31">SUM(C84:C87)</f>
        <v>0</v>
      </c>
      <c r="D88" s="500">
        <f t="shared" si="31"/>
        <v>0</v>
      </c>
      <c r="E88" s="500">
        <f t="shared" si="31"/>
        <v>0</v>
      </c>
      <c r="F88" s="500">
        <f t="shared" si="31"/>
        <v>0</v>
      </c>
      <c r="G88" s="500">
        <f t="shared" si="31"/>
        <v>0.02</v>
      </c>
      <c r="H88" s="500">
        <f t="shared" si="31"/>
        <v>0.02</v>
      </c>
      <c r="I88" s="500">
        <f t="shared" si="31"/>
        <v>0.02</v>
      </c>
      <c r="J88" s="500">
        <f t="shared" si="31"/>
        <v>0.02</v>
      </c>
      <c r="K88" s="500">
        <f t="shared" si="31"/>
        <v>0.02</v>
      </c>
      <c r="L88" s="500">
        <f t="shared" si="31"/>
        <v>0</v>
      </c>
      <c r="M88" s="500">
        <f t="shared" si="31"/>
        <v>0</v>
      </c>
      <c r="N88" s="500">
        <f t="shared" si="31"/>
        <v>0</v>
      </c>
      <c r="O88" s="500">
        <f t="shared" si="31"/>
        <v>0</v>
      </c>
      <c r="P88" s="500">
        <f t="shared" si="31"/>
        <v>0</v>
      </c>
      <c r="Q88" s="500">
        <f t="shared" ref="Q88:V88" si="32">SUM(Q84:Q87)</f>
        <v>0</v>
      </c>
      <c r="R88" s="500">
        <f t="shared" si="32"/>
        <v>0</v>
      </c>
      <c r="S88" s="500">
        <f t="shared" si="32"/>
        <v>0</v>
      </c>
      <c r="T88" s="500">
        <f t="shared" si="32"/>
        <v>0</v>
      </c>
      <c r="U88" s="500">
        <f t="shared" si="32"/>
        <v>0</v>
      </c>
      <c r="V88" s="500">
        <f t="shared" si="32"/>
        <v>0</v>
      </c>
      <c r="W88" s="446"/>
      <c r="X88" s="446"/>
      <c r="Y88" s="446"/>
      <c r="Z88" s="446"/>
      <c r="AA88" s="446"/>
      <c r="AB88" s="446"/>
      <c r="AC88" s="446"/>
    </row>
    <row r="89" spans="1:29" x14ac:dyDescent="0.2">
      <c r="A89" s="476" t="s">
        <v>256</v>
      </c>
      <c r="B89" s="503" t="s">
        <v>342</v>
      </c>
      <c r="C89" s="484">
        <f t="shared" ref="C89:P89" si="33">C82-C88</f>
        <v>0</v>
      </c>
      <c r="D89" s="484">
        <f t="shared" si="33"/>
        <v>0</v>
      </c>
      <c r="E89" s="484">
        <f t="shared" si="33"/>
        <v>0</v>
      </c>
      <c r="F89" s="484">
        <f t="shared" si="33"/>
        <v>0</v>
      </c>
      <c r="G89" s="484">
        <f t="shared" si="33"/>
        <v>-0.02</v>
      </c>
      <c r="H89" s="484">
        <f t="shared" si="33"/>
        <v>-0.02</v>
      </c>
      <c r="I89" s="484">
        <f t="shared" si="33"/>
        <v>-0.02</v>
      </c>
      <c r="J89" s="484">
        <f t="shared" si="33"/>
        <v>-0.02</v>
      </c>
      <c r="K89" s="484">
        <f t="shared" si="33"/>
        <v>-0.02</v>
      </c>
      <c r="L89" s="484">
        <f t="shared" si="33"/>
        <v>0</v>
      </c>
      <c r="M89" s="484">
        <f t="shared" si="33"/>
        <v>0</v>
      </c>
      <c r="N89" s="484">
        <f t="shared" si="33"/>
        <v>0</v>
      </c>
      <c r="O89" s="484">
        <f t="shared" si="33"/>
        <v>0</v>
      </c>
      <c r="P89" s="484">
        <f t="shared" si="33"/>
        <v>0</v>
      </c>
      <c r="Q89" s="484">
        <f t="shared" ref="Q89:V89" si="34">Q82-Q88</f>
        <v>0</v>
      </c>
      <c r="R89" s="484">
        <f t="shared" si="34"/>
        <v>0</v>
      </c>
      <c r="S89" s="484">
        <f t="shared" si="34"/>
        <v>0</v>
      </c>
      <c r="T89" s="484">
        <f t="shared" si="34"/>
        <v>0</v>
      </c>
      <c r="U89" s="484">
        <f t="shared" si="34"/>
        <v>0</v>
      </c>
      <c r="V89" s="484">
        <f t="shared" si="34"/>
        <v>0</v>
      </c>
      <c r="W89" s="446"/>
      <c r="X89" s="446"/>
      <c r="Y89" s="446"/>
      <c r="Z89" s="446"/>
      <c r="AA89" s="446"/>
      <c r="AB89" s="446"/>
      <c r="AC89" s="446"/>
    </row>
    <row r="90" spans="1:29" x14ac:dyDescent="0.2">
      <c r="A90" s="446"/>
      <c r="B90" s="446"/>
      <c r="C90" s="504"/>
      <c r="D90" s="504"/>
      <c r="E90" s="504"/>
      <c r="F90" s="504"/>
      <c r="G90" s="504"/>
      <c r="H90" s="504"/>
      <c r="I90" s="504"/>
      <c r="J90" s="504"/>
      <c r="K90" s="504"/>
      <c r="L90" s="504"/>
      <c r="M90" s="504"/>
      <c r="N90" s="504"/>
      <c r="O90" s="504"/>
      <c r="P90" s="504"/>
      <c r="Q90" s="504"/>
      <c r="R90" s="504"/>
      <c r="S90" s="504"/>
      <c r="T90" s="504"/>
      <c r="U90" s="504"/>
      <c r="V90" s="504"/>
      <c r="W90" s="446"/>
      <c r="X90" s="446"/>
      <c r="Y90" s="446"/>
      <c r="Z90" s="446"/>
      <c r="AA90" s="446"/>
      <c r="AB90" s="446"/>
      <c r="AC90" s="446"/>
    </row>
    <row r="91" spans="1:29" x14ac:dyDescent="0.2">
      <c r="A91" s="446">
        <v>12</v>
      </c>
      <c r="B91" s="503" t="s">
        <v>343</v>
      </c>
      <c r="C91" s="502">
        <f>C75+C89</f>
        <v>9.9999999999999978E-2</v>
      </c>
      <c r="D91" s="502">
        <f t="shared" ref="D91:P91" si="35">D75+D89</f>
        <v>0.13</v>
      </c>
      <c r="E91" s="502">
        <f t="shared" si="35"/>
        <v>0.38000000000000017</v>
      </c>
      <c r="F91" s="502">
        <f t="shared" si="35"/>
        <v>0.30999999999999983</v>
      </c>
      <c r="G91" s="502">
        <f t="shared" si="35"/>
        <v>0.80000000000000038</v>
      </c>
      <c r="H91" s="502">
        <f t="shared" si="35"/>
        <v>1.7107250000000023</v>
      </c>
      <c r="I91" s="502">
        <f t="shared" si="35"/>
        <v>2.3248700000000015</v>
      </c>
      <c r="J91" s="502">
        <f t="shared" si="35"/>
        <v>2.6024674999999999</v>
      </c>
      <c r="K91" s="502">
        <f t="shared" si="35"/>
        <v>2.8586849999999941</v>
      </c>
      <c r="L91" s="502">
        <f t="shared" si="35"/>
        <v>3.169150000000001</v>
      </c>
      <c r="M91" s="502">
        <f t="shared" si="35"/>
        <v>3.6418124999999986</v>
      </c>
      <c r="N91" s="502">
        <f t="shared" si="35"/>
        <v>0</v>
      </c>
      <c r="O91" s="502">
        <f t="shared" si="35"/>
        <v>0</v>
      </c>
      <c r="P91" s="502">
        <f t="shared" si="35"/>
        <v>0</v>
      </c>
      <c r="Q91" s="502">
        <f t="shared" ref="Q91:V91" si="36">Q75+Q89</f>
        <v>0</v>
      </c>
      <c r="R91" s="502">
        <f t="shared" si="36"/>
        <v>0</v>
      </c>
      <c r="S91" s="502">
        <f t="shared" si="36"/>
        <v>0</v>
      </c>
      <c r="T91" s="502">
        <f t="shared" si="36"/>
        <v>0</v>
      </c>
      <c r="U91" s="502">
        <f t="shared" si="36"/>
        <v>0</v>
      </c>
      <c r="V91" s="502">
        <f t="shared" si="36"/>
        <v>0</v>
      </c>
      <c r="W91" s="499">
        <v>7.6298022345701169E-2</v>
      </c>
      <c r="X91" s="499">
        <v>0.40266075388026606</v>
      </c>
      <c r="Y91" s="499">
        <v>0.50227961373998242</v>
      </c>
      <c r="Z91" s="499">
        <v>0.58050611085754844</v>
      </c>
      <c r="AA91" s="499">
        <v>0.64896361332367847</v>
      </c>
      <c r="AB91" s="499">
        <v>0.73533199195171017</v>
      </c>
      <c r="AC91" s="499" t="s">
        <v>360</v>
      </c>
    </row>
    <row r="92" spans="1:29" x14ac:dyDescent="0.2">
      <c r="A92" s="446"/>
      <c r="B92" s="446"/>
      <c r="C92" s="501"/>
      <c r="D92" s="501"/>
      <c r="E92" s="501"/>
      <c r="F92" s="501"/>
      <c r="G92" s="501"/>
      <c r="H92" s="501"/>
      <c r="I92" s="501"/>
      <c r="J92" s="501"/>
      <c r="K92" s="501"/>
      <c r="L92" s="501"/>
      <c r="M92" s="501"/>
      <c r="N92" s="501"/>
      <c r="O92" s="501"/>
      <c r="P92" s="501"/>
      <c r="Q92" s="501"/>
      <c r="R92" s="501"/>
      <c r="S92" s="501"/>
      <c r="T92" s="501"/>
      <c r="U92" s="501"/>
      <c r="V92" s="501"/>
      <c r="W92" s="446"/>
      <c r="X92" s="446"/>
      <c r="Y92" s="446"/>
      <c r="Z92" s="446"/>
      <c r="AA92" s="446"/>
      <c r="AB92" s="446"/>
      <c r="AC92" s="446"/>
    </row>
    <row r="93" spans="1:29" x14ac:dyDescent="0.2">
      <c r="A93" s="446">
        <v>13</v>
      </c>
      <c r="B93" s="446" t="s">
        <v>344</v>
      </c>
      <c r="C93" s="185">
        <v>0.03</v>
      </c>
      <c r="D93" s="185">
        <v>0.04</v>
      </c>
      <c r="E93" s="185">
        <v>0.11</v>
      </c>
      <c r="F93" s="185">
        <f>F91*30%</f>
        <v>9.2999999999999944E-2</v>
      </c>
      <c r="G93" s="185">
        <f t="shared" ref="G93:M93" si="37">G91*30%</f>
        <v>0.2400000000000001</v>
      </c>
      <c r="H93" s="185">
        <f t="shared" si="37"/>
        <v>0.51321750000000066</v>
      </c>
      <c r="I93" s="185">
        <f t="shared" si="37"/>
        <v>0.69746100000000044</v>
      </c>
      <c r="J93" s="185">
        <f t="shared" si="37"/>
        <v>0.78074024999999991</v>
      </c>
      <c r="K93" s="185">
        <f t="shared" si="37"/>
        <v>0.85760549999999824</v>
      </c>
      <c r="L93" s="185">
        <f t="shared" si="37"/>
        <v>0.95074500000000028</v>
      </c>
      <c r="M93" s="185">
        <f t="shared" si="37"/>
        <v>1.0925437499999995</v>
      </c>
      <c r="N93" s="185"/>
      <c r="O93" s="185"/>
      <c r="P93" s="185"/>
      <c r="Q93" s="185"/>
      <c r="R93" s="185"/>
      <c r="S93" s="185"/>
      <c r="T93" s="185"/>
      <c r="U93" s="185"/>
      <c r="V93" s="185"/>
      <c r="W93" s="446"/>
      <c r="X93" s="446"/>
      <c r="Y93" s="446"/>
      <c r="Z93" s="446"/>
      <c r="AA93" s="446"/>
      <c r="AB93" s="446"/>
      <c r="AC93" s="446"/>
    </row>
    <row r="94" spans="1:29" x14ac:dyDescent="0.2">
      <c r="A94" s="446"/>
      <c r="B94" s="446"/>
      <c r="C94" s="501"/>
      <c r="D94" s="501"/>
      <c r="E94" s="501"/>
      <c r="F94" s="501"/>
      <c r="G94" s="501"/>
      <c r="H94" s="501"/>
      <c r="I94" s="501"/>
      <c r="J94" s="501"/>
      <c r="K94" s="501"/>
      <c r="L94" s="501"/>
      <c r="M94" s="501"/>
      <c r="N94" s="501"/>
      <c r="O94" s="501"/>
      <c r="P94" s="501"/>
      <c r="Q94" s="501"/>
      <c r="R94" s="501"/>
      <c r="S94" s="501"/>
      <c r="T94" s="501"/>
      <c r="U94" s="501"/>
      <c r="V94" s="501"/>
      <c r="W94" s="446"/>
      <c r="X94" s="446"/>
      <c r="Y94" s="446"/>
      <c r="Z94" s="446"/>
      <c r="AA94" s="446"/>
      <c r="AB94" s="446"/>
      <c r="AC94" s="446"/>
    </row>
    <row r="95" spans="1:29" s="494" customFormat="1" x14ac:dyDescent="0.2">
      <c r="A95" s="474">
        <v>14</v>
      </c>
      <c r="B95" s="474" t="s">
        <v>345</v>
      </c>
      <c r="C95" s="484">
        <f>C91-C93</f>
        <v>6.9999999999999979E-2</v>
      </c>
      <c r="D95" s="484">
        <f t="shared" ref="D95:P95" si="38">D91-D93</f>
        <v>0.09</v>
      </c>
      <c r="E95" s="484">
        <f t="shared" si="38"/>
        <v>0.27000000000000018</v>
      </c>
      <c r="F95" s="484">
        <f t="shared" si="38"/>
        <v>0.21699999999999989</v>
      </c>
      <c r="G95" s="484">
        <f t="shared" si="38"/>
        <v>0.56000000000000028</v>
      </c>
      <c r="H95" s="484">
        <f t="shared" si="38"/>
        <v>1.1975075000000017</v>
      </c>
      <c r="I95" s="484">
        <f t="shared" si="38"/>
        <v>1.627409000000001</v>
      </c>
      <c r="J95" s="484">
        <f t="shared" si="38"/>
        <v>1.8217272499999999</v>
      </c>
      <c r="K95" s="484">
        <f t="shared" si="38"/>
        <v>2.0010794999999959</v>
      </c>
      <c r="L95" s="484">
        <f t="shared" si="38"/>
        <v>2.2184050000000006</v>
      </c>
      <c r="M95" s="484">
        <f t="shared" si="38"/>
        <v>2.5492687499999991</v>
      </c>
      <c r="N95" s="484">
        <f t="shared" si="38"/>
        <v>0</v>
      </c>
      <c r="O95" s="484">
        <f t="shared" si="38"/>
        <v>0</v>
      </c>
      <c r="P95" s="484">
        <f t="shared" si="38"/>
        <v>0</v>
      </c>
      <c r="Q95" s="484">
        <f t="shared" ref="Q95:V95" si="39">Q91-Q93</f>
        <v>0</v>
      </c>
      <c r="R95" s="484">
        <f t="shared" si="39"/>
        <v>0</v>
      </c>
      <c r="S95" s="484">
        <f t="shared" si="39"/>
        <v>0</v>
      </c>
      <c r="T95" s="484">
        <f t="shared" si="39"/>
        <v>0</v>
      </c>
      <c r="U95" s="484">
        <f t="shared" si="39"/>
        <v>0</v>
      </c>
      <c r="V95" s="484">
        <f t="shared" si="39"/>
        <v>0</v>
      </c>
      <c r="W95" s="517">
        <v>7.6298022345701169E-2</v>
      </c>
      <c r="X95" s="517">
        <v>0.40266075388026606</v>
      </c>
      <c r="Y95" s="517">
        <v>0.50227961373998242</v>
      </c>
      <c r="Z95" s="517">
        <v>0.58050611085754844</v>
      </c>
      <c r="AA95" s="517">
        <v>0.64896361332367847</v>
      </c>
      <c r="AB95" s="517">
        <v>0.73533199195171017</v>
      </c>
      <c r="AC95" s="517" t="s">
        <v>360</v>
      </c>
    </row>
    <row r="96" spans="1:29" x14ac:dyDescent="0.2">
      <c r="A96" s="446">
        <v>15</v>
      </c>
      <c r="B96" s="513" t="s">
        <v>346</v>
      </c>
      <c r="C96" s="195"/>
      <c r="D96" s="195"/>
      <c r="E96" s="195"/>
      <c r="F96" s="195"/>
      <c r="G96" s="195"/>
      <c r="H96" s="195"/>
      <c r="I96" s="195"/>
      <c r="J96" s="195"/>
      <c r="K96" s="195"/>
      <c r="L96" s="195"/>
      <c r="M96" s="195"/>
      <c r="N96" s="195"/>
      <c r="O96" s="195"/>
      <c r="P96" s="195"/>
      <c r="Q96" s="195"/>
      <c r="R96" s="195"/>
      <c r="S96" s="195"/>
      <c r="T96" s="195"/>
      <c r="U96" s="195"/>
      <c r="V96" s="195"/>
      <c r="W96" s="499"/>
      <c r="X96" s="499"/>
      <c r="Y96" s="499"/>
      <c r="Z96" s="499"/>
      <c r="AA96" s="499"/>
      <c r="AB96" s="499"/>
      <c r="AC96" s="499"/>
    </row>
    <row r="97" spans="1:29" x14ac:dyDescent="0.2">
      <c r="A97" s="446">
        <v>16</v>
      </c>
      <c r="B97" s="503" t="s">
        <v>347</v>
      </c>
      <c r="C97" s="185"/>
      <c r="D97" s="185"/>
      <c r="E97" s="185"/>
      <c r="F97" s="185"/>
      <c r="G97" s="185"/>
      <c r="H97" s="185"/>
      <c r="I97" s="185"/>
      <c r="J97" s="185"/>
      <c r="K97" s="185"/>
      <c r="L97" s="185"/>
      <c r="M97" s="185"/>
      <c r="N97" s="185"/>
      <c r="O97" s="185"/>
      <c r="P97" s="185"/>
      <c r="Q97" s="185"/>
      <c r="R97" s="185"/>
      <c r="S97" s="185"/>
      <c r="T97" s="185"/>
      <c r="U97" s="185"/>
      <c r="V97" s="185"/>
      <c r="W97" s="446"/>
      <c r="X97" s="446"/>
      <c r="Y97" s="446"/>
      <c r="Z97" s="446"/>
      <c r="AA97" s="446"/>
      <c r="AB97" s="446"/>
      <c r="AC97" s="446"/>
    </row>
    <row r="98" spans="1:29" x14ac:dyDescent="0.2">
      <c r="A98" s="446">
        <v>17</v>
      </c>
      <c r="B98" s="513" t="s">
        <v>683</v>
      </c>
      <c r="C98" s="518">
        <f>C95+C96-C97</f>
        <v>6.9999999999999979E-2</v>
      </c>
      <c r="D98" s="518">
        <f t="shared" ref="D98:P98" si="40">D95+D96-D97</f>
        <v>0.09</v>
      </c>
      <c r="E98" s="518">
        <f t="shared" si="40"/>
        <v>0.27000000000000018</v>
      </c>
      <c r="F98" s="518">
        <f t="shared" si="40"/>
        <v>0.21699999999999989</v>
      </c>
      <c r="G98" s="518">
        <f t="shared" si="40"/>
        <v>0.56000000000000028</v>
      </c>
      <c r="H98" s="518">
        <f t="shared" si="40"/>
        <v>1.1975075000000017</v>
      </c>
      <c r="I98" s="518">
        <f t="shared" si="40"/>
        <v>1.627409000000001</v>
      </c>
      <c r="J98" s="518">
        <f t="shared" si="40"/>
        <v>1.8217272499999999</v>
      </c>
      <c r="K98" s="518">
        <f t="shared" si="40"/>
        <v>2.0010794999999959</v>
      </c>
      <c r="L98" s="518">
        <f t="shared" si="40"/>
        <v>2.2184050000000006</v>
      </c>
      <c r="M98" s="518">
        <f t="shared" si="40"/>
        <v>2.5492687499999991</v>
      </c>
      <c r="N98" s="518">
        <f t="shared" si="40"/>
        <v>0</v>
      </c>
      <c r="O98" s="518">
        <f t="shared" si="40"/>
        <v>0</v>
      </c>
      <c r="P98" s="518">
        <f t="shared" si="40"/>
        <v>0</v>
      </c>
      <c r="Q98" s="518">
        <f t="shared" ref="Q98:V98" si="41">Q95+Q96-Q97</f>
        <v>0</v>
      </c>
      <c r="R98" s="518">
        <f t="shared" si="41"/>
        <v>0</v>
      </c>
      <c r="S98" s="518">
        <f t="shared" si="41"/>
        <v>0</v>
      </c>
      <c r="T98" s="518">
        <f t="shared" si="41"/>
        <v>0</v>
      </c>
      <c r="U98" s="518">
        <f t="shared" si="41"/>
        <v>0</v>
      </c>
      <c r="V98" s="518">
        <f t="shared" si="41"/>
        <v>0</v>
      </c>
      <c r="W98" s="499">
        <v>7.0323235944315013E-2</v>
      </c>
      <c r="X98" s="499">
        <v>0.39583830803343001</v>
      </c>
      <c r="Y98" s="499">
        <v>0.4937841588083709</v>
      </c>
      <c r="Z98" s="499">
        <v>0.57036360870226677</v>
      </c>
      <c r="AA98" s="499">
        <v>0.63764934829833453</v>
      </c>
      <c r="AB98" s="499">
        <v>0.72325955734406433</v>
      </c>
      <c r="AC98" s="499" t="s">
        <v>360</v>
      </c>
    </row>
    <row r="99" spans="1:29" x14ac:dyDescent="0.2">
      <c r="A99" s="446"/>
      <c r="B99" s="513" t="s">
        <v>684</v>
      </c>
      <c r="C99" s="501"/>
      <c r="D99" s="515"/>
      <c r="E99" s="501"/>
      <c r="F99" s="501"/>
      <c r="G99" s="501"/>
      <c r="H99" s="501"/>
      <c r="I99" s="501"/>
      <c r="J99" s="501"/>
      <c r="K99" s="501"/>
      <c r="L99" s="501"/>
      <c r="M99" s="501"/>
      <c r="N99" s="501"/>
      <c r="O99" s="501"/>
      <c r="P99" s="501"/>
      <c r="Q99" s="501"/>
      <c r="R99" s="501"/>
      <c r="S99" s="501"/>
      <c r="T99" s="501"/>
      <c r="U99" s="501"/>
      <c r="V99" s="501"/>
      <c r="W99" s="446"/>
      <c r="X99" s="446"/>
      <c r="Y99" s="446"/>
      <c r="Z99" s="446"/>
      <c r="AA99" s="446"/>
      <c r="AB99" s="446"/>
      <c r="AC99" s="446"/>
    </row>
    <row r="100" spans="1:29" x14ac:dyDescent="0.2">
      <c r="A100" s="503">
        <v>18</v>
      </c>
      <c r="B100" s="450" t="s">
        <v>348</v>
      </c>
      <c r="C100" s="185"/>
      <c r="D100" s="185"/>
      <c r="E100" s="185"/>
      <c r="F100" s="185"/>
      <c r="G100" s="185"/>
      <c r="H100" s="185"/>
      <c r="I100" s="185"/>
      <c r="J100" s="185"/>
      <c r="K100" s="185"/>
      <c r="L100" s="185"/>
      <c r="M100" s="185"/>
      <c r="N100" s="185"/>
      <c r="O100" s="185"/>
      <c r="P100" s="185"/>
      <c r="Q100" s="185"/>
      <c r="R100" s="185"/>
      <c r="S100" s="185"/>
      <c r="T100" s="185"/>
      <c r="U100" s="185"/>
      <c r="V100" s="185"/>
      <c r="W100" s="446"/>
      <c r="X100" s="446"/>
      <c r="Y100" s="446"/>
      <c r="Z100" s="446"/>
      <c r="AA100" s="446"/>
      <c r="AB100" s="446"/>
      <c r="AC100" s="446"/>
    </row>
    <row r="101" spans="1:29" x14ac:dyDescent="0.2">
      <c r="A101" s="503" t="s">
        <v>349</v>
      </c>
      <c r="B101" s="450" t="s">
        <v>350</v>
      </c>
      <c r="C101" s="501"/>
      <c r="D101" s="501"/>
      <c r="E101" s="501"/>
      <c r="F101" s="501"/>
      <c r="G101" s="501"/>
      <c r="H101" s="501"/>
      <c r="I101" s="501"/>
      <c r="J101" s="501"/>
      <c r="K101" s="501"/>
      <c r="L101" s="501"/>
      <c r="M101" s="501"/>
      <c r="N101" s="501"/>
      <c r="O101" s="501"/>
      <c r="P101" s="501"/>
      <c r="Q101" s="501"/>
      <c r="R101" s="501"/>
      <c r="S101" s="501"/>
      <c r="T101" s="501"/>
      <c r="U101" s="501"/>
      <c r="V101" s="501"/>
      <c r="W101" s="446"/>
      <c r="X101" s="446"/>
      <c r="Y101" s="446"/>
      <c r="Z101" s="446"/>
      <c r="AA101" s="446"/>
      <c r="AB101" s="446"/>
      <c r="AC101" s="446"/>
    </row>
    <row r="102" spans="1:29" x14ac:dyDescent="0.2">
      <c r="A102" s="446">
        <v>19</v>
      </c>
      <c r="B102" s="474" t="s">
        <v>685</v>
      </c>
      <c r="C102" s="500">
        <f>C98-C100</f>
        <v>6.9999999999999979E-2</v>
      </c>
      <c r="D102" s="500">
        <f t="shared" ref="D102:P102" si="42">D98-D100</f>
        <v>0.09</v>
      </c>
      <c r="E102" s="500">
        <f t="shared" si="42"/>
        <v>0.27000000000000018</v>
      </c>
      <c r="F102" s="500">
        <f t="shared" si="42"/>
        <v>0.21699999999999989</v>
      </c>
      <c r="G102" s="500">
        <f t="shared" si="42"/>
        <v>0.56000000000000028</v>
      </c>
      <c r="H102" s="500">
        <f t="shared" si="42"/>
        <v>1.1975075000000017</v>
      </c>
      <c r="I102" s="500">
        <f t="shared" si="42"/>
        <v>1.627409000000001</v>
      </c>
      <c r="J102" s="500">
        <f t="shared" si="42"/>
        <v>1.8217272499999999</v>
      </c>
      <c r="K102" s="500">
        <f t="shared" si="42"/>
        <v>2.0010794999999959</v>
      </c>
      <c r="L102" s="500">
        <f t="shared" si="42"/>
        <v>2.2184050000000006</v>
      </c>
      <c r="M102" s="500">
        <f t="shared" si="42"/>
        <v>2.5492687499999991</v>
      </c>
      <c r="N102" s="500">
        <f t="shared" si="42"/>
        <v>0</v>
      </c>
      <c r="O102" s="500">
        <f t="shared" si="42"/>
        <v>0</v>
      </c>
      <c r="P102" s="500">
        <f t="shared" si="42"/>
        <v>0</v>
      </c>
      <c r="Q102" s="500">
        <f t="shared" ref="Q102:V102" si="43">Q98-Q100</f>
        <v>0</v>
      </c>
      <c r="R102" s="500">
        <f t="shared" si="43"/>
        <v>0</v>
      </c>
      <c r="S102" s="500">
        <f t="shared" si="43"/>
        <v>0</v>
      </c>
      <c r="T102" s="500">
        <f t="shared" si="43"/>
        <v>0</v>
      </c>
      <c r="U102" s="500">
        <f t="shared" si="43"/>
        <v>0</v>
      </c>
      <c r="V102" s="500">
        <f t="shared" si="43"/>
        <v>0</v>
      </c>
      <c r="W102" s="499">
        <v>7.0323235944315013E-2</v>
      </c>
      <c r="X102" s="499">
        <v>0.39583830803343001</v>
      </c>
      <c r="Y102" s="499">
        <v>0.4937841588083709</v>
      </c>
      <c r="Z102" s="499">
        <v>0.57036360870226677</v>
      </c>
      <c r="AA102" s="499">
        <v>0.63764934829833453</v>
      </c>
      <c r="AB102" s="499">
        <v>0.72325955734406433</v>
      </c>
      <c r="AC102" s="499" t="s">
        <v>360</v>
      </c>
    </row>
    <row r="103" spans="1:29" x14ac:dyDescent="0.2">
      <c r="A103" s="446">
        <v>20</v>
      </c>
      <c r="B103" s="450" t="s">
        <v>351</v>
      </c>
      <c r="C103" s="519">
        <f>IF(ISERROR(C102/C98),"",IF(C102/C98=0,"",C102/C98))</f>
        <v>1</v>
      </c>
      <c r="D103" s="519">
        <f t="shared" ref="D103:P103" si="44">IF(ISERROR(D102/D98),"",IF(D102/D98=0,"",D102/D98))</f>
        <v>1</v>
      </c>
      <c r="E103" s="519">
        <f t="shared" si="44"/>
        <v>1</v>
      </c>
      <c r="F103" s="519">
        <f t="shared" si="44"/>
        <v>1</v>
      </c>
      <c r="G103" s="519">
        <f t="shared" si="44"/>
        <v>1</v>
      </c>
      <c r="H103" s="519">
        <f t="shared" si="44"/>
        <v>1</v>
      </c>
      <c r="I103" s="519">
        <f t="shared" si="44"/>
        <v>1</v>
      </c>
      <c r="J103" s="519">
        <f t="shared" si="44"/>
        <v>1</v>
      </c>
      <c r="K103" s="519">
        <f t="shared" si="44"/>
        <v>1</v>
      </c>
      <c r="L103" s="519">
        <f t="shared" si="44"/>
        <v>1</v>
      </c>
      <c r="M103" s="519">
        <f t="shared" si="44"/>
        <v>1</v>
      </c>
      <c r="N103" s="519" t="str">
        <f t="shared" si="44"/>
        <v/>
      </c>
      <c r="O103" s="519" t="str">
        <f t="shared" si="44"/>
        <v/>
      </c>
      <c r="P103" s="519" t="str">
        <f t="shared" si="44"/>
        <v/>
      </c>
      <c r="Q103" s="519" t="str">
        <f t="shared" ref="Q103:V103" si="45">IF(ISERROR(Q102/Q98),"",IF(Q102/Q98=0,"",Q102/Q98))</f>
        <v/>
      </c>
      <c r="R103" s="519" t="str">
        <f t="shared" si="45"/>
        <v/>
      </c>
      <c r="S103" s="519" t="str">
        <f t="shared" si="45"/>
        <v/>
      </c>
      <c r="T103" s="519" t="str">
        <f t="shared" si="45"/>
        <v/>
      </c>
      <c r="U103" s="519" t="str">
        <f t="shared" si="45"/>
        <v/>
      </c>
      <c r="V103" s="519" t="str">
        <f t="shared" si="45"/>
        <v/>
      </c>
      <c r="W103" s="446"/>
      <c r="X103" s="446"/>
      <c r="Y103" s="446"/>
      <c r="Z103" s="446"/>
      <c r="AA103" s="446"/>
      <c r="AB103" s="446"/>
      <c r="AC103" s="446"/>
    </row>
    <row r="104" spans="1:29" x14ac:dyDescent="0.2">
      <c r="A104" s="446"/>
      <c r="B104" s="446"/>
      <c r="C104" s="446"/>
      <c r="D104" s="446"/>
      <c r="E104" s="446"/>
      <c r="F104" s="446"/>
      <c r="G104" s="420">
        <f>G102/G17*100</f>
        <v>2.8000000000000016</v>
      </c>
      <c r="H104" s="420">
        <f t="shared" ref="H104:M104" si="46">H102/H17*100</f>
        <v>3.4933124270711837</v>
      </c>
      <c r="I104" s="420">
        <f t="shared" si="46"/>
        <v>4.0262469074715517</v>
      </c>
      <c r="J104" s="420">
        <f t="shared" si="46"/>
        <v>4.1318377183034691</v>
      </c>
      <c r="K104" s="420">
        <f t="shared" si="46"/>
        <v>4.1723926188490319</v>
      </c>
      <c r="L104" s="420">
        <f t="shared" si="46"/>
        <v>4.2637036325197011</v>
      </c>
      <c r="M104" s="420">
        <f t="shared" si="46"/>
        <v>4.5360653914590729</v>
      </c>
      <c r="N104" s="446"/>
      <c r="O104" s="446"/>
      <c r="P104" s="446"/>
      <c r="Q104" s="446"/>
      <c r="R104" s="446"/>
      <c r="S104" s="446"/>
      <c r="T104" s="446"/>
      <c r="U104" s="446"/>
      <c r="V104" s="446"/>
      <c r="W104" s="446"/>
      <c r="X104" s="446"/>
      <c r="Y104" s="446"/>
      <c r="Z104" s="446"/>
      <c r="AA104" s="446"/>
      <c r="AB104" s="446"/>
      <c r="AC104" s="446"/>
    </row>
  </sheetData>
  <phoneticPr fontId="0" type="noConversion"/>
  <pageMargins left="0.75" right="0.75" top="1" bottom="1" header="0.5" footer="0.5"/>
  <pageSetup orientation="portrait" r:id="rId1"/>
  <headerFooter alignWithMargins="0"/>
  <cellWatches>
    <cellWatch r="C58"/>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W105"/>
  <sheetViews>
    <sheetView topLeftCell="A7" zoomScale="85" zoomScaleNormal="85" workbookViewId="0">
      <selection activeCell="O34" sqref="O34"/>
    </sheetView>
  </sheetViews>
  <sheetFormatPr defaultRowHeight="12.75" x14ac:dyDescent="0.2"/>
  <cols>
    <col min="1" max="1" width="2.85546875" style="418" customWidth="1"/>
    <col min="2" max="2" width="27.7109375" style="418" customWidth="1"/>
    <col min="3" max="22" width="9.85546875" style="418" customWidth="1"/>
    <col min="23" max="16384" width="9.140625" style="418"/>
  </cols>
  <sheetData>
    <row r="1" spans="1:23" x14ac:dyDescent="0.2">
      <c r="A1" s="446"/>
      <c r="B1" s="446"/>
      <c r="C1" s="446"/>
      <c r="D1" s="446"/>
      <c r="E1" s="446"/>
      <c r="F1" s="446"/>
      <c r="G1" s="446"/>
      <c r="H1" s="446"/>
      <c r="I1" s="473" t="s">
        <v>221</v>
      </c>
      <c r="J1" s="473"/>
      <c r="K1" s="473"/>
      <c r="L1" s="473"/>
      <c r="M1" s="473"/>
      <c r="N1" s="473"/>
      <c r="O1" s="473"/>
      <c r="P1" s="473"/>
      <c r="Q1" s="473"/>
      <c r="R1" s="473"/>
      <c r="S1" s="473"/>
      <c r="T1" s="473"/>
      <c r="U1" s="473"/>
      <c r="V1" s="473"/>
      <c r="W1" s="446"/>
    </row>
    <row r="2" spans="1:23" x14ac:dyDescent="0.2">
      <c r="A2" s="446"/>
      <c r="B2" s="446"/>
      <c r="C2" s="446"/>
      <c r="D2" s="446"/>
      <c r="E2" s="446"/>
      <c r="F2" s="446"/>
      <c r="G2" s="446"/>
      <c r="H2" s="446"/>
      <c r="I2" s="446"/>
      <c r="J2" s="446"/>
      <c r="K2" s="446"/>
      <c r="L2" s="446"/>
      <c r="M2" s="446"/>
      <c r="N2" s="446"/>
      <c r="O2" s="446"/>
      <c r="P2" s="446"/>
      <c r="Q2" s="446"/>
      <c r="R2" s="446"/>
      <c r="S2" s="446"/>
      <c r="T2" s="446"/>
      <c r="U2" s="446"/>
      <c r="V2" s="446"/>
      <c r="W2" s="446"/>
    </row>
    <row r="3" spans="1:23" x14ac:dyDescent="0.2">
      <c r="A3" s="446"/>
      <c r="B3" s="410" t="s">
        <v>786</v>
      </c>
      <c r="C3" s="446"/>
      <c r="D3" s="446"/>
      <c r="E3" s="446"/>
      <c r="F3" s="446"/>
      <c r="G3" s="446"/>
      <c r="H3" s="446"/>
      <c r="I3" s="446"/>
      <c r="J3" s="446"/>
      <c r="K3" s="446"/>
      <c r="L3" s="446"/>
      <c r="M3" s="446"/>
      <c r="N3" s="446"/>
      <c r="O3" s="446"/>
      <c r="P3" s="446"/>
      <c r="Q3" s="446"/>
      <c r="R3" s="446"/>
      <c r="S3" s="446"/>
      <c r="T3" s="446"/>
      <c r="U3" s="446"/>
      <c r="V3" s="446"/>
      <c r="W3" s="446"/>
    </row>
    <row r="4" spans="1:23" x14ac:dyDescent="0.2">
      <c r="A4" s="446"/>
      <c r="B4" s="446"/>
      <c r="C4" s="446"/>
      <c r="D4" s="474" t="s">
        <v>222</v>
      </c>
      <c r="E4" s="446"/>
      <c r="F4" s="446"/>
      <c r="G4" s="446"/>
      <c r="H4" s="446"/>
      <c r="I4" s="446"/>
      <c r="J4" s="446"/>
      <c r="K4" s="446"/>
      <c r="L4" s="446"/>
      <c r="M4" s="446"/>
      <c r="N4" s="446"/>
      <c r="O4" s="446"/>
      <c r="P4" s="446"/>
      <c r="Q4" s="446"/>
      <c r="R4" s="446"/>
      <c r="S4" s="446"/>
      <c r="T4" s="446"/>
      <c r="U4" s="446"/>
      <c r="V4" s="446"/>
      <c r="W4" s="446"/>
    </row>
    <row r="5" spans="1:23" x14ac:dyDescent="0.2">
      <c r="A5" s="446"/>
      <c r="B5" s="446"/>
      <c r="C5" s="446"/>
      <c r="D5" s="446"/>
      <c r="E5" s="446"/>
      <c r="F5" s="446"/>
      <c r="G5" s="446"/>
      <c r="H5" s="446"/>
      <c r="I5" s="446"/>
      <c r="J5" s="446"/>
      <c r="K5" s="446"/>
      <c r="L5" s="446"/>
      <c r="M5" s="446"/>
      <c r="N5" s="446"/>
      <c r="O5" s="446"/>
      <c r="P5" s="446"/>
      <c r="Q5" s="446"/>
      <c r="R5" s="446"/>
      <c r="S5" s="446"/>
      <c r="T5" s="446"/>
      <c r="U5" s="446"/>
      <c r="V5" s="446"/>
      <c r="W5" s="446"/>
    </row>
    <row r="6" spans="1:23" x14ac:dyDescent="0.2">
      <c r="A6" s="475"/>
      <c r="B6" s="475">
        <f>'Oper.St.'!B7</f>
        <v>0</v>
      </c>
      <c r="C6" s="446"/>
      <c r="D6" s="446"/>
      <c r="E6" s="446"/>
      <c r="F6" s="446"/>
      <c r="G6" s="473" t="s">
        <v>81</v>
      </c>
      <c r="H6" s="520" t="str">
        <f>'Oper.St.'!H7</f>
        <v>Crores</v>
      </c>
      <c r="I6" s="446"/>
      <c r="J6" s="446"/>
      <c r="K6" s="446"/>
      <c r="L6" s="446"/>
      <c r="M6" s="446"/>
      <c r="N6" s="446"/>
      <c r="O6" s="446"/>
      <c r="P6" s="446"/>
      <c r="Q6" s="446"/>
      <c r="R6" s="446"/>
      <c r="S6" s="446"/>
      <c r="T6" s="446"/>
      <c r="U6" s="446"/>
      <c r="V6" s="446"/>
      <c r="W6" s="446"/>
    </row>
    <row r="7" spans="1:23" x14ac:dyDescent="0.2">
      <c r="A7" s="446"/>
      <c r="B7" s="446"/>
      <c r="C7" s="446"/>
      <c r="D7" s="446"/>
      <c r="E7" s="446"/>
      <c r="F7" s="446"/>
      <c r="G7" s="446"/>
      <c r="H7" s="446"/>
      <c r="I7" s="446"/>
      <c r="J7" s="446"/>
      <c r="K7" s="446"/>
      <c r="L7" s="446"/>
      <c r="M7" s="446"/>
      <c r="N7" s="446"/>
      <c r="O7" s="446"/>
      <c r="P7" s="446"/>
      <c r="Q7" s="446"/>
      <c r="R7" s="446"/>
      <c r="S7" s="446"/>
      <c r="T7" s="446"/>
      <c r="U7" s="446"/>
      <c r="V7" s="446"/>
      <c r="W7" s="446"/>
    </row>
    <row r="8" spans="1:23" x14ac:dyDescent="0.2">
      <c r="A8" s="446"/>
      <c r="B8" s="474" t="s">
        <v>223</v>
      </c>
      <c r="C8" s="446"/>
      <c r="D8" s="446"/>
      <c r="E8" s="453" t="s">
        <v>785</v>
      </c>
      <c r="F8" s="446"/>
      <c r="G8" s="446"/>
      <c r="H8" s="446"/>
      <c r="I8" s="446"/>
      <c r="J8" s="446"/>
      <c r="K8" s="446"/>
      <c r="L8" s="446"/>
      <c r="M8" s="446"/>
      <c r="N8" s="446"/>
      <c r="O8" s="446"/>
      <c r="P8" s="446"/>
      <c r="Q8" s="446"/>
      <c r="R8" s="446"/>
      <c r="S8" s="446"/>
      <c r="T8" s="446"/>
      <c r="U8" s="446"/>
      <c r="V8" s="446"/>
      <c r="W8" s="446"/>
    </row>
    <row r="9" spans="1:23" x14ac:dyDescent="0.2">
      <c r="A9" s="446"/>
      <c r="B9" s="476" t="s">
        <v>82</v>
      </c>
      <c r="C9" s="521" t="str">
        <f>'Oper.St.'!C10</f>
        <v>MARCH</v>
      </c>
      <c r="D9" s="521" t="str">
        <f>'Oper.St.'!D10</f>
        <v>MARCH</v>
      </c>
      <c r="E9" s="521" t="str">
        <f>'Oper.St.'!E10</f>
        <v>MARCH</v>
      </c>
      <c r="F9" s="521" t="str">
        <f>'Oper.St.'!F10</f>
        <v>MARCH</v>
      </c>
      <c r="G9" s="521" t="str">
        <f>'Oper.St.'!G10</f>
        <v>MARCH</v>
      </c>
      <c r="H9" s="521" t="str">
        <f>'Oper.St.'!H10</f>
        <v>MARCH</v>
      </c>
      <c r="I9" s="521" t="str">
        <f>'Oper.St.'!I10</f>
        <v>MARCH</v>
      </c>
      <c r="J9" s="521" t="str">
        <f>'Oper.St.'!J10</f>
        <v>MARCH</v>
      </c>
      <c r="K9" s="521" t="str">
        <f>'Oper.St.'!K10</f>
        <v>MARCH</v>
      </c>
      <c r="L9" s="521" t="str">
        <f>'Oper.St.'!L10</f>
        <v>MARCH</v>
      </c>
      <c r="M9" s="521" t="str">
        <f>'Oper.St.'!M10</f>
        <v>MARCH</v>
      </c>
      <c r="N9" s="521" t="str">
        <f>'Oper.St.'!N10</f>
        <v>MARCH</v>
      </c>
      <c r="O9" s="521" t="str">
        <f>'Oper.St.'!O10</f>
        <v>MARCH</v>
      </c>
      <c r="P9" s="521" t="str">
        <f>'Oper.St.'!P10</f>
        <v>MARCH</v>
      </c>
      <c r="Q9" s="521" t="str">
        <f>'Oper.St.'!Q10</f>
        <v>MARCH</v>
      </c>
      <c r="R9" s="521" t="str">
        <f>'Oper.St.'!R10</f>
        <v>MARCH</v>
      </c>
      <c r="S9" s="521" t="str">
        <f>'Oper.St.'!S10</f>
        <v>MARCH</v>
      </c>
      <c r="T9" s="521" t="str">
        <f>'Oper.St.'!T10</f>
        <v>MARCH</v>
      </c>
      <c r="U9" s="521" t="str">
        <f>'Oper.St.'!U10</f>
        <v>MARCH</v>
      </c>
      <c r="V9" s="521" t="str">
        <f>'Oper.St.'!V10</f>
        <v>MARCH</v>
      </c>
      <c r="W9" s="446"/>
    </row>
    <row r="10" spans="1:23" s="523" customFormat="1" x14ac:dyDescent="0.2">
      <c r="A10" s="474"/>
      <c r="B10" s="474"/>
      <c r="C10" s="510">
        <f>'Oper.St.'!C11</f>
        <v>2020</v>
      </c>
      <c r="D10" s="510">
        <f>'Oper.St.'!D11</f>
        <v>2021</v>
      </c>
      <c r="E10" s="510">
        <f>'Oper.St.'!E11</f>
        <v>2022</v>
      </c>
      <c r="F10" s="510">
        <f>'Oper.St.'!F11</f>
        <v>2023</v>
      </c>
      <c r="G10" s="510">
        <f>'Oper.St.'!G11</f>
        <v>2024</v>
      </c>
      <c r="H10" s="510">
        <f>'Oper.St.'!H11</f>
        <v>2025</v>
      </c>
      <c r="I10" s="510">
        <f>'Oper.St.'!I11</f>
        <v>2026</v>
      </c>
      <c r="J10" s="510">
        <f>'Oper.St.'!J11</f>
        <v>2027</v>
      </c>
      <c r="K10" s="510">
        <f>'Oper.St.'!K11</f>
        <v>2028</v>
      </c>
      <c r="L10" s="510">
        <f>'Oper.St.'!L11</f>
        <v>2029</v>
      </c>
      <c r="M10" s="510">
        <f>'Oper.St.'!M11</f>
        <v>2030</v>
      </c>
      <c r="N10" s="510">
        <f>'Oper.St.'!N11</f>
        <v>2031</v>
      </c>
      <c r="O10" s="510">
        <f>'Oper.St.'!O11</f>
        <v>2032</v>
      </c>
      <c r="P10" s="510">
        <f>'Oper.St.'!P11</f>
        <v>2033</v>
      </c>
      <c r="Q10" s="510">
        <f>'Oper.St.'!Q11</f>
        <v>2034</v>
      </c>
      <c r="R10" s="510">
        <f>'Oper.St.'!R11</f>
        <v>2035</v>
      </c>
      <c r="S10" s="510">
        <f>'Oper.St.'!S11</f>
        <v>2036</v>
      </c>
      <c r="T10" s="510">
        <f>'Oper.St.'!T11</f>
        <v>2037</v>
      </c>
      <c r="U10" s="510">
        <f>'Oper.St.'!U11</f>
        <v>2038</v>
      </c>
      <c r="V10" s="510">
        <f>'Oper.St.'!V11</f>
        <v>2039</v>
      </c>
      <c r="W10" s="522"/>
    </row>
    <row r="11" spans="1:23" s="523" customFormat="1" x14ac:dyDescent="0.2">
      <c r="A11" s="474"/>
      <c r="B11" s="474" t="s">
        <v>225</v>
      </c>
      <c r="C11" s="524" t="str">
        <f>'Oper.St.'!C12</f>
        <v>AUD.</v>
      </c>
      <c r="D11" s="524" t="str">
        <f>'Oper.St.'!D12</f>
        <v>AUD.</v>
      </c>
      <c r="E11" s="524" t="str">
        <f>'Oper.St.'!E12</f>
        <v>AUD.</v>
      </c>
      <c r="F11" s="524" t="str">
        <f>'Oper.St.'!F12</f>
        <v>EST.</v>
      </c>
      <c r="G11" s="524" t="str">
        <f>'Oper.St.'!G12</f>
        <v>PROJ.</v>
      </c>
      <c r="H11" s="524" t="str">
        <f>'Oper.St.'!H12</f>
        <v>PROJ.</v>
      </c>
      <c r="I11" s="524" t="str">
        <f>'Oper.St.'!I12</f>
        <v>PROJ.</v>
      </c>
      <c r="J11" s="524" t="str">
        <f>'Oper.St.'!J12</f>
        <v>PROJ.</v>
      </c>
      <c r="K11" s="524" t="str">
        <f>'Oper.St.'!K12</f>
        <v>PROJ.</v>
      </c>
      <c r="L11" s="524" t="str">
        <f>'Oper.St.'!L12</f>
        <v>PROJ.</v>
      </c>
      <c r="M11" s="524" t="str">
        <f>'Oper.St.'!M12</f>
        <v>PROJ.</v>
      </c>
      <c r="N11" s="524" t="str">
        <f>'Oper.St.'!N12</f>
        <v>PROJ.</v>
      </c>
      <c r="O11" s="524" t="str">
        <f>'Oper.St.'!O12</f>
        <v>PROJ.</v>
      </c>
      <c r="P11" s="524" t="str">
        <f>'Oper.St.'!P12</f>
        <v>PROJ.</v>
      </c>
      <c r="Q11" s="524" t="str">
        <f>'Oper.St.'!Q12</f>
        <v>PROJ.</v>
      </c>
      <c r="R11" s="524" t="str">
        <f>'Oper.St.'!R12</f>
        <v>PROJ.</v>
      </c>
      <c r="S11" s="524" t="str">
        <f>'Oper.St.'!S12</f>
        <v>PROJ.</v>
      </c>
      <c r="T11" s="524" t="str">
        <f>'Oper.St.'!T12</f>
        <v>PROJ.</v>
      </c>
      <c r="U11" s="524" t="str">
        <f>'Oper.St.'!U12</f>
        <v>PROJ.</v>
      </c>
      <c r="V11" s="524" t="str">
        <f>'Oper.St.'!V12</f>
        <v>PROJ.</v>
      </c>
      <c r="W11" s="522"/>
    </row>
    <row r="12" spans="1:23" x14ac:dyDescent="0.2">
      <c r="A12" s="446">
        <v>1</v>
      </c>
      <c r="B12" s="503" t="s">
        <v>226</v>
      </c>
      <c r="C12" s="504"/>
      <c r="D12" s="504"/>
      <c r="E12" s="504"/>
      <c r="F12" s="504"/>
      <c r="G12" s="504"/>
      <c r="H12" s="504"/>
      <c r="I12" s="504"/>
      <c r="J12" s="504"/>
      <c r="K12" s="504"/>
      <c r="L12" s="504"/>
      <c r="M12" s="504"/>
      <c r="N12" s="504"/>
      <c r="O12" s="504"/>
      <c r="P12" s="504"/>
      <c r="Q12" s="504"/>
      <c r="R12" s="504"/>
      <c r="S12" s="504"/>
      <c r="T12" s="504"/>
      <c r="U12" s="504"/>
      <c r="V12" s="504"/>
      <c r="W12" s="446"/>
    </row>
    <row r="13" spans="1:23" x14ac:dyDescent="0.2">
      <c r="A13" s="446"/>
      <c r="B13" s="503" t="s">
        <v>227</v>
      </c>
      <c r="C13" s="501"/>
      <c r="D13" s="501"/>
      <c r="E13" s="501"/>
      <c r="F13" s="501"/>
      <c r="G13" s="501"/>
      <c r="H13" s="501"/>
      <c r="I13" s="501"/>
      <c r="J13" s="501"/>
      <c r="K13" s="501"/>
      <c r="L13" s="501"/>
      <c r="M13" s="501"/>
      <c r="N13" s="501"/>
      <c r="O13" s="501"/>
      <c r="P13" s="501"/>
      <c r="Q13" s="501"/>
      <c r="R13" s="501"/>
      <c r="S13" s="501"/>
      <c r="T13" s="501"/>
      <c r="U13" s="501"/>
      <c r="V13" s="501"/>
      <c r="W13" s="446"/>
    </row>
    <row r="14" spans="1:23" x14ac:dyDescent="0.2">
      <c r="A14" s="446"/>
      <c r="B14" s="503" t="s">
        <v>228</v>
      </c>
      <c r="C14" s="501"/>
      <c r="D14" s="501"/>
      <c r="E14" s="501"/>
      <c r="F14" s="501"/>
      <c r="G14" s="501"/>
      <c r="H14" s="501"/>
      <c r="I14" s="501"/>
      <c r="J14" s="501"/>
      <c r="K14" s="501"/>
      <c r="L14" s="501"/>
      <c r="M14" s="501"/>
      <c r="N14" s="501"/>
      <c r="O14" s="501"/>
      <c r="P14" s="501"/>
      <c r="Q14" s="501"/>
      <c r="R14" s="501"/>
      <c r="S14" s="501"/>
      <c r="T14" s="501"/>
      <c r="U14" s="501"/>
      <c r="V14" s="501"/>
      <c r="W14" s="446"/>
    </row>
    <row r="15" spans="1:23" x14ac:dyDescent="0.2">
      <c r="A15" s="480" t="s">
        <v>254</v>
      </c>
      <c r="B15" s="446" t="s">
        <v>229</v>
      </c>
      <c r="C15" s="183"/>
      <c r="D15" s="183"/>
      <c r="E15" s="183"/>
      <c r="F15" s="183"/>
      <c r="G15" s="183">
        <v>2</v>
      </c>
      <c r="H15" s="183">
        <v>2</v>
      </c>
      <c r="I15" s="183">
        <v>2</v>
      </c>
      <c r="J15" s="183">
        <v>2</v>
      </c>
      <c r="K15" s="183">
        <v>2</v>
      </c>
      <c r="L15" s="183">
        <v>2</v>
      </c>
      <c r="M15" s="183">
        <v>2</v>
      </c>
      <c r="N15" s="183"/>
      <c r="O15" s="183"/>
      <c r="P15" s="183"/>
      <c r="Q15" s="183"/>
      <c r="R15" s="183"/>
      <c r="S15" s="183"/>
      <c r="T15" s="183"/>
      <c r="U15" s="183"/>
      <c r="V15" s="183"/>
      <c r="W15" s="446"/>
    </row>
    <row r="16" spans="1:23" x14ac:dyDescent="0.2">
      <c r="A16" s="476" t="s">
        <v>255</v>
      </c>
      <c r="B16" s="446" t="s">
        <v>230</v>
      </c>
      <c r="C16" s="183"/>
      <c r="D16" s="183"/>
      <c r="E16" s="183"/>
      <c r="F16" s="183"/>
      <c r="G16" s="183"/>
      <c r="H16" s="183"/>
      <c r="I16" s="183"/>
      <c r="J16" s="183"/>
      <c r="K16" s="183"/>
      <c r="L16" s="183"/>
      <c r="M16" s="183"/>
      <c r="N16" s="183"/>
      <c r="O16" s="183"/>
      <c r="P16" s="183"/>
      <c r="Q16" s="183"/>
      <c r="R16" s="183"/>
      <c r="S16" s="183"/>
      <c r="T16" s="183"/>
      <c r="U16" s="183"/>
      <c r="V16" s="183"/>
      <c r="W16" s="446"/>
    </row>
    <row r="17" spans="1:23" x14ac:dyDescent="0.2">
      <c r="A17" s="446"/>
      <c r="B17" s="446"/>
      <c r="C17" s="501"/>
      <c r="D17" s="501"/>
      <c r="E17" s="501"/>
      <c r="F17" s="501"/>
      <c r="G17" s="501"/>
      <c r="H17" s="501"/>
      <c r="I17" s="501"/>
      <c r="J17" s="501"/>
      <c r="K17" s="501"/>
      <c r="L17" s="501"/>
      <c r="M17" s="501"/>
      <c r="N17" s="501"/>
      <c r="O17" s="501"/>
      <c r="P17" s="501"/>
      <c r="Q17" s="501"/>
      <c r="R17" s="501"/>
      <c r="S17" s="501"/>
      <c r="T17" s="501"/>
      <c r="U17" s="501"/>
      <c r="V17" s="501"/>
      <c r="W17" s="446"/>
    </row>
    <row r="18" spans="1:23" x14ac:dyDescent="0.2">
      <c r="A18" s="476" t="s">
        <v>256</v>
      </c>
      <c r="B18" s="503" t="s">
        <v>231</v>
      </c>
      <c r="C18" s="184"/>
      <c r="D18" s="184"/>
      <c r="E18" s="184"/>
      <c r="F18" s="184"/>
      <c r="G18" s="184"/>
      <c r="H18" s="184"/>
      <c r="I18" s="184"/>
      <c r="J18" s="184"/>
      <c r="K18" s="184"/>
      <c r="L18" s="184"/>
      <c r="M18" s="184"/>
      <c r="N18" s="184"/>
      <c r="O18" s="184"/>
      <c r="P18" s="184"/>
      <c r="Q18" s="184"/>
      <c r="R18" s="184"/>
      <c r="S18" s="184"/>
      <c r="T18" s="184"/>
      <c r="U18" s="184"/>
      <c r="V18" s="184"/>
      <c r="W18" s="446"/>
    </row>
    <row r="19" spans="1:23" x14ac:dyDescent="0.2">
      <c r="A19" s="446"/>
      <c r="B19" s="446"/>
      <c r="C19" s="504"/>
      <c r="D19" s="504"/>
      <c r="E19" s="504"/>
      <c r="F19" s="504"/>
      <c r="G19" s="504"/>
      <c r="H19" s="504"/>
      <c r="I19" s="504"/>
      <c r="J19" s="504"/>
      <c r="K19" s="504"/>
      <c r="L19" s="504"/>
      <c r="M19" s="504"/>
      <c r="N19" s="504"/>
      <c r="O19" s="504"/>
      <c r="P19" s="504"/>
      <c r="Q19" s="504"/>
      <c r="R19" s="504"/>
      <c r="S19" s="504"/>
      <c r="T19" s="504"/>
      <c r="U19" s="504"/>
      <c r="V19" s="504"/>
      <c r="W19" s="446"/>
    </row>
    <row r="20" spans="1:23" x14ac:dyDescent="0.2">
      <c r="A20" s="446"/>
      <c r="B20" s="474" t="s">
        <v>232</v>
      </c>
      <c r="C20" s="484">
        <f>SUM(C15:C16)</f>
        <v>0</v>
      </c>
      <c r="D20" s="484">
        <f t="shared" ref="D20:P20" si="0">SUM(D15:D16)</f>
        <v>0</v>
      </c>
      <c r="E20" s="484">
        <f t="shared" si="0"/>
        <v>0</v>
      </c>
      <c r="F20" s="484">
        <f t="shared" si="0"/>
        <v>0</v>
      </c>
      <c r="G20" s="484">
        <f t="shared" si="0"/>
        <v>2</v>
      </c>
      <c r="H20" s="484">
        <f t="shared" si="0"/>
        <v>2</v>
      </c>
      <c r="I20" s="484">
        <f t="shared" si="0"/>
        <v>2</v>
      </c>
      <c r="J20" s="484">
        <f t="shared" si="0"/>
        <v>2</v>
      </c>
      <c r="K20" s="484">
        <f t="shared" si="0"/>
        <v>2</v>
      </c>
      <c r="L20" s="484">
        <f t="shared" si="0"/>
        <v>2</v>
      </c>
      <c r="M20" s="484">
        <f t="shared" si="0"/>
        <v>2</v>
      </c>
      <c r="N20" s="484">
        <f t="shared" si="0"/>
        <v>0</v>
      </c>
      <c r="O20" s="484">
        <f t="shared" si="0"/>
        <v>0</v>
      </c>
      <c r="P20" s="484">
        <f t="shared" si="0"/>
        <v>0</v>
      </c>
      <c r="Q20" s="484">
        <f t="shared" ref="Q20:V20" si="1">SUM(Q15:Q16)</f>
        <v>0</v>
      </c>
      <c r="R20" s="484">
        <f t="shared" si="1"/>
        <v>0</v>
      </c>
      <c r="S20" s="484">
        <f t="shared" si="1"/>
        <v>0</v>
      </c>
      <c r="T20" s="484">
        <f t="shared" si="1"/>
        <v>0</v>
      </c>
      <c r="U20" s="484">
        <f t="shared" si="1"/>
        <v>0</v>
      </c>
      <c r="V20" s="484">
        <f t="shared" si="1"/>
        <v>0</v>
      </c>
      <c r="W20" s="446"/>
    </row>
    <row r="21" spans="1:23" x14ac:dyDescent="0.2">
      <c r="A21" s="446"/>
      <c r="B21" s="446"/>
      <c r="C21" s="504"/>
      <c r="D21" s="504"/>
      <c r="E21" s="501"/>
      <c r="F21" s="501"/>
      <c r="G21" s="501"/>
      <c r="H21" s="501"/>
      <c r="I21" s="504"/>
      <c r="J21" s="504"/>
      <c r="K21" s="504"/>
      <c r="L21" s="504"/>
      <c r="M21" s="504"/>
      <c r="N21" s="504"/>
      <c r="O21" s="504"/>
      <c r="P21" s="504"/>
      <c r="Q21" s="504"/>
      <c r="R21" s="504"/>
      <c r="S21" s="504"/>
      <c r="T21" s="504"/>
      <c r="U21" s="504"/>
      <c r="V21" s="504"/>
      <c r="W21" s="446"/>
    </row>
    <row r="22" spans="1:23" x14ac:dyDescent="0.2">
      <c r="A22" s="446">
        <v>2</v>
      </c>
      <c r="B22" s="503" t="s">
        <v>233</v>
      </c>
      <c r="C22" s="183"/>
      <c r="D22" s="183"/>
      <c r="E22" s="183"/>
      <c r="F22" s="183"/>
      <c r="G22" s="183"/>
      <c r="H22" s="183"/>
      <c r="I22" s="183"/>
      <c r="J22" s="183"/>
      <c r="K22" s="183"/>
      <c r="L22" s="183"/>
      <c r="M22" s="183"/>
      <c r="N22" s="183"/>
      <c r="O22" s="183"/>
      <c r="P22" s="183"/>
      <c r="Q22" s="183"/>
      <c r="R22" s="183"/>
      <c r="S22" s="183"/>
      <c r="T22" s="183"/>
      <c r="U22" s="183"/>
      <c r="V22" s="183"/>
      <c r="W22" s="446"/>
    </row>
    <row r="23" spans="1:23" x14ac:dyDescent="0.2">
      <c r="A23" s="446"/>
      <c r="B23" s="446"/>
      <c r="C23" s="501"/>
      <c r="D23" s="501"/>
      <c r="E23" s="501"/>
      <c r="F23" s="501"/>
      <c r="G23" s="501"/>
      <c r="H23" s="501"/>
      <c r="I23" s="501"/>
      <c r="J23" s="501"/>
      <c r="K23" s="501"/>
      <c r="L23" s="501"/>
      <c r="M23" s="501"/>
      <c r="N23" s="501"/>
      <c r="O23" s="501"/>
      <c r="P23" s="501"/>
      <c r="Q23" s="501"/>
      <c r="R23" s="501"/>
      <c r="S23" s="501"/>
      <c r="T23" s="501"/>
      <c r="U23" s="501"/>
      <c r="V23" s="501"/>
      <c r="W23" s="446"/>
    </row>
    <row r="24" spans="1:23" x14ac:dyDescent="0.2">
      <c r="A24" s="446">
        <v>3</v>
      </c>
      <c r="B24" s="446" t="s">
        <v>234</v>
      </c>
      <c r="C24" s="183"/>
      <c r="D24" s="183">
        <v>0.02</v>
      </c>
      <c r="E24" s="183">
        <v>0.26</v>
      </c>
      <c r="F24" s="183">
        <v>0.3</v>
      </c>
      <c r="G24" s="183">
        <v>0.2</v>
      </c>
      <c r="H24" s="183">
        <v>1.5</v>
      </c>
      <c r="I24" s="183">
        <v>1.5</v>
      </c>
      <c r="J24" s="183">
        <v>1</v>
      </c>
      <c r="K24" s="183">
        <v>0.75</v>
      </c>
      <c r="L24" s="183">
        <v>0.5</v>
      </c>
      <c r="M24" s="183">
        <v>0.25</v>
      </c>
      <c r="N24" s="183"/>
      <c r="O24" s="183"/>
      <c r="P24" s="183"/>
      <c r="Q24" s="183"/>
      <c r="R24" s="183"/>
      <c r="S24" s="183"/>
      <c r="T24" s="183"/>
      <c r="U24" s="183"/>
      <c r="V24" s="183"/>
      <c r="W24" s="446"/>
    </row>
    <row r="25" spans="1:23" x14ac:dyDescent="0.2">
      <c r="A25" s="446"/>
      <c r="B25" s="446"/>
      <c r="C25" s="501"/>
      <c r="D25" s="501"/>
      <c r="E25" s="501"/>
      <c r="F25" s="501"/>
      <c r="G25" s="501"/>
      <c r="H25" s="501"/>
      <c r="I25" s="501"/>
      <c r="J25" s="501"/>
      <c r="K25" s="501"/>
      <c r="L25" s="501"/>
      <c r="M25" s="501"/>
      <c r="N25" s="501"/>
      <c r="O25" s="501"/>
      <c r="P25" s="501"/>
      <c r="Q25" s="501"/>
      <c r="R25" s="501"/>
      <c r="S25" s="501"/>
      <c r="T25" s="501"/>
      <c r="U25" s="501"/>
      <c r="V25" s="501"/>
      <c r="W25" s="446"/>
    </row>
    <row r="26" spans="1:23" x14ac:dyDescent="0.2">
      <c r="A26" s="446">
        <v>4</v>
      </c>
      <c r="B26" s="503" t="s">
        <v>235</v>
      </c>
      <c r="C26" s="183"/>
      <c r="D26" s="183"/>
      <c r="E26" s="183"/>
      <c r="F26" s="183"/>
      <c r="G26" s="183"/>
      <c r="H26" s="183"/>
      <c r="I26" s="183"/>
      <c r="J26" s="183"/>
      <c r="K26" s="183"/>
      <c r="L26" s="183"/>
      <c r="M26" s="183"/>
      <c r="N26" s="183"/>
      <c r="O26" s="183"/>
      <c r="P26" s="183"/>
      <c r="Q26" s="183"/>
      <c r="R26" s="183"/>
      <c r="S26" s="183"/>
      <c r="T26" s="183"/>
      <c r="U26" s="183"/>
      <c r="V26" s="183"/>
      <c r="W26" s="446"/>
    </row>
    <row r="27" spans="1:23" x14ac:dyDescent="0.2">
      <c r="A27" s="446"/>
      <c r="B27" s="446" t="s">
        <v>236</v>
      </c>
      <c r="C27" s="501"/>
      <c r="D27" s="501"/>
      <c r="E27" s="501"/>
      <c r="F27" s="501"/>
      <c r="G27" s="501"/>
      <c r="H27" s="501"/>
      <c r="I27" s="501"/>
      <c r="J27" s="501"/>
      <c r="K27" s="501"/>
      <c r="L27" s="501"/>
      <c r="M27" s="501"/>
      <c r="N27" s="501"/>
      <c r="O27" s="501"/>
      <c r="P27" s="501"/>
      <c r="Q27" s="501"/>
      <c r="R27" s="501"/>
      <c r="S27" s="501"/>
      <c r="T27" s="501"/>
      <c r="U27" s="501"/>
      <c r="V27" s="501"/>
      <c r="W27" s="446"/>
    </row>
    <row r="28" spans="1:23" x14ac:dyDescent="0.2">
      <c r="A28" s="446">
        <v>5</v>
      </c>
      <c r="B28" s="446" t="s">
        <v>237</v>
      </c>
      <c r="C28" s="183"/>
      <c r="D28" s="185"/>
      <c r="E28" s="185"/>
      <c r="F28" s="185">
        <f>'Oper.St.'!F93</f>
        <v>9.2999999999999944E-2</v>
      </c>
      <c r="G28" s="185">
        <f>'Oper.St.'!G93</f>
        <v>0.2400000000000001</v>
      </c>
      <c r="H28" s="185">
        <f>'Oper.St.'!H93</f>
        <v>0.51321750000000066</v>
      </c>
      <c r="I28" s="185">
        <f>'Oper.St.'!I93</f>
        <v>0.69746100000000044</v>
      </c>
      <c r="J28" s="185">
        <f>'Oper.St.'!J93</f>
        <v>0.78074024999999991</v>
      </c>
      <c r="K28" s="185">
        <f>'Oper.St.'!K93</f>
        <v>0.85760549999999824</v>
      </c>
      <c r="L28" s="185">
        <f>'Oper.St.'!L93</f>
        <v>0.95074500000000028</v>
      </c>
      <c r="M28" s="185">
        <f>'Oper.St.'!M93</f>
        <v>1.0925437499999995</v>
      </c>
      <c r="N28" s="185"/>
      <c r="O28" s="185"/>
      <c r="P28" s="185"/>
      <c r="Q28" s="185"/>
      <c r="R28" s="185"/>
      <c r="S28" s="185"/>
      <c r="T28" s="185"/>
      <c r="U28" s="185"/>
      <c r="V28" s="185"/>
      <c r="W28" s="446"/>
    </row>
    <row r="29" spans="1:23" x14ac:dyDescent="0.2">
      <c r="A29" s="446"/>
      <c r="B29" s="446"/>
      <c r="C29" s="501"/>
      <c r="D29" s="501"/>
      <c r="E29" s="501"/>
      <c r="F29" s="501"/>
      <c r="G29" s="501"/>
      <c r="H29" s="501"/>
      <c r="I29" s="501"/>
      <c r="J29" s="501"/>
      <c r="K29" s="501"/>
      <c r="L29" s="501"/>
      <c r="M29" s="501"/>
      <c r="N29" s="501"/>
      <c r="O29" s="501"/>
      <c r="P29" s="501"/>
      <c r="Q29" s="501"/>
      <c r="R29" s="501"/>
      <c r="S29" s="501"/>
      <c r="T29" s="501"/>
      <c r="U29" s="501"/>
      <c r="V29" s="501"/>
      <c r="W29" s="446"/>
    </row>
    <row r="30" spans="1:23" x14ac:dyDescent="0.2">
      <c r="A30" s="446">
        <v>6</v>
      </c>
      <c r="B30" s="446" t="s">
        <v>238</v>
      </c>
      <c r="C30" s="183"/>
      <c r="D30" s="183"/>
      <c r="E30" s="183"/>
      <c r="F30" s="183"/>
      <c r="G30" s="183"/>
      <c r="H30" s="183"/>
      <c r="I30" s="183"/>
      <c r="J30" s="183"/>
      <c r="K30" s="183"/>
      <c r="L30" s="183"/>
      <c r="M30" s="183"/>
      <c r="N30" s="183"/>
      <c r="O30" s="183"/>
      <c r="P30" s="183"/>
      <c r="Q30" s="183"/>
      <c r="R30" s="183"/>
      <c r="S30" s="183"/>
      <c r="T30" s="183"/>
      <c r="U30" s="183"/>
      <c r="V30" s="183"/>
      <c r="W30" s="446"/>
    </row>
    <row r="31" spans="1:23" x14ac:dyDescent="0.2">
      <c r="A31" s="446"/>
      <c r="B31" s="446"/>
      <c r="C31" s="501"/>
      <c r="D31" s="501"/>
      <c r="E31" s="501"/>
      <c r="F31" s="501"/>
      <c r="G31" s="501"/>
      <c r="H31" s="501"/>
      <c r="I31" s="501"/>
      <c r="J31" s="501"/>
      <c r="K31" s="501"/>
      <c r="L31" s="501"/>
      <c r="M31" s="501"/>
      <c r="N31" s="501"/>
      <c r="O31" s="501"/>
      <c r="P31" s="501"/>
      <c r="Q31" s="501"/>
      <c r="R31" s="501"/>
      <c r="S31" s="501"/>
      <c r="T31" s="501"/>
      <c r="U31" s="501"/>
      <c r="V31" s="501"/>
      <c r="W31" s="446"/>
    </row>
    <row r="32" spans="1:23" x14ac:dyDescent="0.2">
      <c r="A32" s="446">
        <v>7</v>
      </c>
      <c r="B32" s="446" t="s">
        <v>239</v>
      </c>
      <c r="C32" s="183"/>
      <c r="D32" s="183"/>
      <c r="E32" s="183"/>
      <c r="F32" s="183"/>
      <c r="G32" s="183"/>
      <c r="H32" s="183"/>
      <c r="I32" s="183"/>
      <c r="J32" s="183"/>
      <c r="K32" s="183"/>
      <c r="L32" s="183"/>
      <c r="M32" s="183"/>
      <c r="N32" s="183"/>
      <c r="O32" s="183"/>
      <c r="P32" s="183"/>
      <c r="Q32" s="183"/>
      <c r="R32" s="183"/>
      <c r="S32" s="183"/>
      <c r="T32" s="183"/>
      <c r="U32" s="183"/>
      <c r="V32" s="183"/>
      <c r="W32" s="446"/>
    </row>
    <row r="33" spans="1:23" x14ac:dyDescent="0.2">
      <c r="A33" s="446"/>
      <c r="B33" s="446" t="s">
        <v>264</v>
      </c>
      <c r="C33" s="501"/>
      <c r="D33" s="501"/>
      <c r="E33" s="501"/>
      <c r="F33" s="501"/>
      <c r="G33" s="501"/>
      <c r="H33" s="501"/>
      <c r="I33" s="501"/>
      <c r="J33" s="501"/>
      <c r="K33" s="501"/>
      <c r="L33" s="501"/>
      <c r="M33" s="501"/>
      <c r="N33" s="501"/>
      <c r="O33" s="501"/>
      <c r="P33" s="501"/>
      <c r="Q33" s="501"/>
      <c r="R33" s="501"/>
      <c r="S33" s="501"/>
      <c r="T33" s="501"/>
      <c r="U33" s="501"/>
      <c r="V33" s="501"/>
      <c r="W33" s="446"/>
    </row>
    <row r="34" spans="1:23" x14ac:dyDescent="0.2">
      <c r="A34" s="446">
        <v>8</v>
      </c>
      <c r="B34" s="507" t="s">
        <v>265</v>
      </c>
      <c r="C34" s="183"/>
      <c r="D34" s="183"/>
      <c r="E34" s="183">
        <v>0.88</v>
      </c>
      <c r="F34" s="183">
        <v>1.17</v>
      </c>
      <c r="G34" s="183">
        <f>0.88+'INTT &amp; REPAY'!G10</f>
        <v>2.08</v>
      </c>
      <c r="H34" s="183">
        <f>0.02+'INTT &amp; REPAY'!H10</f>
        <v>1.4600000000000004</v>
      </c>
      <c r="I34" s="183">
        <f>0.02+'INTT &amp; REPAY'!I10</f>
        <v>1.8199999999999996</v>
      </c>
      <c r="J34" s="183">
        <f>'INTT &amp; REPAY'!J10</f>
        <v>2.1599999999999997</v>
      </c>
      <c r="K34" s="183">
        <f>'INTT &amp; REPAY'!K10</f>
        <v>2.4</v>
      </c>
      <c r="L34" s="183">
        <f>'INTT &amp; REPAY'!L10</f>
        <v>3</v>
      </c>
      <c r="M34" s="183">
        <f>'INTT &amp; REPAY'!M10</f>
        <v>0</v>
      </c>
      <c r="N34" s="183"/>
      <c r="O34" s="183"/>
      <c r="P34" s="183"/>
      <c r="Q34" s="183"/>
      <c r="R34" s="183"/>
      <c r="S34" s="183"/>
      <c r="T34" s="183"/>
      <c r="U34" s="183"/>
      <c r="V34" s="183"/>
      <c r="W34" s="446"/>
    </row>
    <row r="35" spans="1:23" x14ac:dyDescent="0.2">
      <c r="A35" s="446"/>
      <c r="B35" s="507" t="s">
        <v>266</v>
      </c>
      <c r="C35" s="501"/>
      <c r="D35" s="501"/>
      <c r="E35" s="501"/>
      <c r="F35" s="501"/>
      <c r="G35" s="501"/>
      <c r="H35" s="501"/>
      <c r="I35" s="501"/>
      <c r="J35" s="501"/>
      <c r="K35" s="501"/>
      <c r="L35" s="501"/>
      <c r="M35" s="501"/>
      <c r="N35" s="501"/>
      <c r="O35" s="501"/>
      <c r="P35" s="501"/>
      <c r="Q35" s="501"/>
      <c r="R35" s="501"/>
      <c r="S35" s="501"/>
      <c r="T35" s="501"/>
      <c r="U35" s="501"/>
      <c r="V35" s="501"/>
      <c r="W35" s="446"/>
    </row>
    <row r="36" spans="1:23" x14ac:dyDescent="0.2">
      <c r="A36" s="446">
        <v>9</v>
      </c>
      <c r="B36" s="503" t="s">
        <v>267</v>
      </c>
      <c r="C36" s="183">
        <v>0.16</v>
      </c>
      <c r="D36" s="183">
        <v>0.13</v>
      </c>
      <c r="E36" s="183">
        <v>0.11</v>
      </c>
      <c r="F36" s="183">
        <v>0.12</v>
      </c>
      <c r="G36" s="183">
        <v>0.12</v>
      </c>
      <c r="H36" s="183">
        <v>0.12</v>
      </c>
      <c r="I36" s="183">
        <v>0.13</v>
      </c>
      <c r="J36" s="183">
        <v>0.13</v>
      </c>
      <c r="K36" s="183">
        <v>0.14000000000000001</v>
      </c>
      <c r="L36" s="183">
        <v>0.14000000000000001</v>
      </c>
      <c r="M36" s="183">
        <v>0.15</v>
      </c>
      <c r="N36" s="183"/>
      <c r="O36" s="183"/>
      <c r="P36" s="183"/>
      <c r="Q36" s="183"/>
      <c r="R36" s="183"/>
      <c r="S36" s="183"/>
      <c r="T36" s="183"/>
      <c r="U36" s="183"/>
      <c r="V36" s="183"/>
      <c r="W36" s="446"/>
    </row>
    <row r="37" spans="1:23" x14ac:dyDescent="0.2">
      <c r="A37" s="446"/>
      <c r="B37" s="503" t="s">
        <v>264</v>
      </c>
      <c r="C37" s="183"/>
      <c r="D37" s="183"/>
      <c r="E37" s="183"/>
      <c r="F37" s="183"/>
      <c r="G37" s="183"/>
      <c r="H37" s="183"/>
      <c r="I37" s="183"/>
      <c r="J37" s="183"/>
      <c r="K37" s="183"/>
      <c r="L37" s="183"/>
      <c r="M37" s="183"/>
      <c r="N37" s="183"/>
      <c r="O37" s="183"/>
      <c r="P37" s="183"/>
      <c r="Q37" s="183"/>
      <c r="R37" s="183"/>
      <c r="S37" s="183"/>
      <c r="T37" s="183"/>
      <c r="U37" s="183"/>
      <c r="V37" s="183"/>
      <c r="W37" s="446"/>
    </row>
    <row r="38" spans="1:23" x14ac:dyDescent="0.2">
      <c r="A38" s="480"/>
      <c r="B38" s="446" t="s">
        <v>268</v>
      </c>
      <c r="C38" s="183"/>
      <c r="D38" s="183"/>
      <c r="E38" s="183"/>
      <c r="F38" s="183"/>
      <c r="G38" s="183"/>
      <c r="H38" s="183"/>
      <c r="I38" s="183"/>
      <c r="J38" s="183"/>
      <c r="K38" s="183"/>
      <c r="L38" s="183"/>
      <c r="M38" s="183"/>
      <c r="N38" s="183"/>
      <c r="O38" s="183"/>
      <c r="P38" s="183"/>
      <c r="Q38" s="183"/>
      <c r="R38" s="183"/>
      <c r="S38" s="183"/>
      <c r="T38" s="183"/>
      <c r="U38" s="183"/>
      <c r="V38" s="183"/>
      <c r="W38" s="446"/>
    </row>
    <row r="39" spans="1:23" x14ac:dyDescent="0.2">
      <c r="A39" s="480" t="s">
        <v>254</v>
      </c>
      <c r="B39" s="187"/>
      <c r="C39" s="183"/>
      <c r="D39" s="183"/>
      <c r="E39" s="183"/>
      <c r="F39" s="183"/>
      <c r="G39" s="183"/>
      <c r="H39" s="183"/>
      <c r="I39" s="183"/>
      <c r="J39" s="183"/>
      <c r="K39" s="183"/>
      <c r="L39" s="183"/>
      <c r="M39" s="183"/>
      <c r="N39" s="183"/>
      <c r="O39" s="183"/>
      <c r="P39" s="183"/>
      <c r="Q39" s="183"/>
      <c r="R39" s="183"/>
      <c r="S39" s="183"/>
      <c r="T39" s="183"/>
      <c r="U39" s="183"/>
      <c r="V39" s="183"/>
      <c r="W39" s="446"/>
    </row>
    <row r="40" spans="1:23" x14ac:dyDescent="0.2">
      <c r="A40" s="476" t="s">
        <v>255</v>
      </c>
      <c r="B40" s="187"/>
      <c r="C40" s="183"/>
      <c r="D40" s="183"/>
      <c r="E40" s="183"/>
      <c r="F40" s="183"/>
      <c r="G40" s="183"/>
      <c r="H40" s="183"/>
      <c r="I40" s="183"/>
      <c r="J40" s="183"/>
      <c r="K40" s="183"/>
      <c r="L40" s="183"/>
      <c r="M40" s="183"/>
      <c r="N40" s="183"/>
      <c r="O40" s="183"/>
      <c r="P40" s="183"/>
      <c r="Q40" s="183"/>
      <c r="R40" s="183"/>
      <c r="S40" s="183"/>
      <c r="T40" s="183"/>
      <c r="U40" s="183"/>
      <c r="V40" s="183"/>
      <c r="W40" s="446"/>
    </row>
    <row r="41" spans="1:23" x14ac:dyDescent="0.2">
      <c r="A41" s="476" t="s">
        <v>256</v>
      </c>
      <c r="B41" s="187"/>
      <c r="C41" s="183"/>
      <c r="D41" s="183"/>
      <c r="E41" s="183"/>
      <c r="F41" s="183"/>
      <c r="G41" s="183"/>
      <c r="H41" s="183"/>
      <c r="I41" s="183"/>
      <c r="J41" s="183"/>
      <c r="K41" s="183"/>
      <c r="L41" s="183"/>
      <c r="M41" s="183"/>
      <c r="N41" s="183"/>
      <c r="O41" s="183"/>
      <c r="P41" s="183"/>
      <c r="Q41" s="183"/>
      <c r="R41" s="183"/>
      <c r="S41" s="183"/>
      <c r="T41" s="183"/>
      <c r="U41" s="183"/>
      <c r="V41" s="183"/>
      <c r="W41" s="446"/>
    </row>
    <row r="42" spans="1:23" x14ac:dyDescent="0.2">
      <c r="A42" s="476" t="s">
        <v>257</v>
      </c>
      <c r="B42" s="187"/>
      <c r="C42" s="183"/>
      <c r="D42" s="183"/>
      <c r="E42" s="183"/>
      <c r="F42" s="183"/>
      <c r="G42" s="183"/>
      <c r="H42" s="183"/>
      <c r="I42" s="183"/>
      <c r="J42" s="183"/>
      <c r="K42" s="183"/>
      <c r="L42" s="183"/>
      <c r="M42" s="183"/>
      <c r="N42" s="183"/>
      <c r="O42" s="183"/>
      <c r="P42" s="183"/>
      <c r="Q42" s="183"/>
      <c r="R42" s="183"/>
      <c r="S42" s="183"/>
      <c r="T42" s="183"/>
      <c r="U42" s="183"/>
      <c r="V42" s="183"/>
      <c r="W42" s="446"/>
    </row>
    <row r="43" spans="1:23" x14ac:dyDescent="0.2">
      <c r="A43" s="476" t="s">
        <v>284</v>
      </c>
      <c r="B43" s="187"/>
      <c r="C43" s="186"/>
      <c r="D43" s="186"/>
      <c r="E43" s="183"/>
      <c r="F43" s="183"/>
      <c r="G43" s="183"/>
      <c r="H43" s="183"/>
      <c r="I43" s="186"/>
      <c r="J43" s="186"/>
      <c r="K43" s="186"/>
      <c r="L43" s="186"/>
      <c r="M43" s="186"/>
      <c r="N43" s="186"/>
      <c r="O43" s="186"/>
      <c r="P43" s="186"/>
      <c r="Q43" s="186"/>
      <c r="R43" s="186"/>
      <c r="S43" s="186"/>
      <c r="T43" s="186"/>
      <c r="U43" s="186"/>
      <c r="V43" s="186"/>
      <c r="W43" s="446"/>
    </row>
    <row r="44" spans="1:23" x14ac:dyDescent="0.2">
      <c r="A44" s="446"/>
      <c r="B44" s="446"/>
      <c r="C44" s="504"/>
      <c r="D44" s="504"/>
      <c r="E44" s="504"/>
      <c r="F44" s="504"/>
      <c r="G44" s="504"/>
      <c r="H44" s="504"/>
      <c r="I44" s="504"/>
      <c r="J44" s="504"/>
      <c r="K44" s="504"/>
      <c r="L44" s="504"/>
      <c r="M44" s="504"/>
      <c r="N44" s="504"/>
      <c r="O44" s="504"/>
      <c r="P44" s="504"/>
      <c r="Q44" s="504"/>
      <c r="R44" s="504"/>
      <c r="S44" s="504"/>
      <c r="T44" s="504"/>
      <c r="U44" s="504"/>
      <c r="V44" s="504"/>
      <c r="W44" s="446"/>
    </row>
    <row r="45" spans="1:23" x14ac:dyDescent="0.2">
      <c r="A45" s="446"/>
      <c r="B45" s="474" t="s">
        <v>269</v>
      </c>
      <c r="C45" s="484">
        <f>SUM(C22:C43)</f>
        <v>0.16</v>
      </c>
      <c r="D45" s="484">
        <f>SUM(D22:D43)</f>
        <v>0.15</v>
      </c>
      <c r="E45" s="484">
        <f t="shared" ref="E45:P45" si="2">SUM(E22:E43)</f>
        <v>1.2500000000000002</v>
      </c>
      <c r="F45" s="484">
        <f t="shared" si="2"/>
        <v>1.6829999999999998</v>
      </c>
      <c r="G45" s="484">
        <f t="shared" si="2"/>
        <v>2.64</v>
      </c>
      <c r="H45" s="484">
        <f t="shared" si="2"/>
        <v>3.5932175000000011</v>
      </c>
      <c r="I45" s="484">
        <f t="shared" si="2"/>
        <v>4.1474609999999998</v>
      </c>
      <c r="J45" s="484">
        <f t="shared" si="2"/>
        <v>4.0707402500000001</v>
      </c>
      <c r="K45" s="484">
        <f t="shared" si="2"/>
        <v>4.1476054999999983</v>
      </c>
      <c r="L45" s="484">
        <f t="shared" si="2"/>
        <v>4.5907450000000001</v>
      </c>
      <c r="M45" s="484">
        <f t="shared" si="2"/>
        <v>1.4925437499999994</v>
      </c>
      <c r="N45" s="484">
        <f t="shared" si="2"/>
        <v>0</v>
      </c>
      <c r="O45" s="484">
        <f t="shared" si="2"/>
        <v>0</v>
      </c>
      <c r="P45" s="484">
        <f t="shared" si="2"/>
        <v>0</v>
      </c>
      <c r="Q45" s="484">
        <f t="shared" ref="Q45:V45" si="3">SUM(Q22:Q43)</f>
        <v>0</v>
      </c>
      <c r="R45" s="484">
        <f t="shared" si="3"/>
        <v>0</v>
      </c>
      <c r="S45" s="484">
        <f t="shared" si="3"/>
        <v>0</v>
      </c>
      <c r="T45" s="484">
        <f t="shared" si="3"/>
        <v>0</v>
      </c>
      <c r="U45" s="484">
        <f t="shared" si="3"/>
        <v>0</v>
      </c>
      <c r="V45" s="484">
        <f t="shared" si="3"/>
        <v>0</v>
      </c>
      <c r="W45" s="446"/>
    </row>
    <row r="46" spans="1:23" x14ac:dyDescent="0.2">
      <c r="A46" s="446"/>
      <c r="B46" s="446"/>
      <c r="C46" s="504"/>
      <c r="D46" s="504"/>
      <c r="E46" s="504"/>
      <c r="F46" s="504"/>
      <c r="G46" s="504"/>
      <c r="H46" s="504"/>
      <c r="I46" s="504"/>
      <c r="J46" s="504"/>
      <c r="K46" s="504"/>
      <c r="L46" s="504"/>
      <c r="M46" s="504"/>
      <c r="N46" s="504"/>
      <c r="O46" s="504"/>
      <c r="P46" s="504"/>
      <c r="Q46" s="504"/>
      <c r="R46" s="504"/>
      <c r="S46" s="504"/>
      <c r="T46" s="504"/>
      <c r="U46" s="504"/>
      <c r="V46" s="504"/>
      <c r="W46" s="446"/>
    </row>
    <row r="47" spans="1:23" x14ac:dyDescent="0.2">
      <c r="A47" s="446">
        <v>10</v>
      </c>
      <c r="B47" s="507" t="s">
        <v>270</v>
      </c>
      <c r="C47" s="502">
        <f>C20+C45</f>
        <v>0.16</v>
      </c>
      <c r="D47" s="502">
        <f>D20+D45</f>
        <v>0.15</v>
      </c>
      <c r="E47" s="502">
        <f t="shared" ref="E47:P47" si="4">E20+E45</f>
        <v>1.2500000000000002</v>
      </c>
      <c r="F47" s="502">
        <f t="shared" si="4"/>
        <v>1.6829999999999998</v>
      </c>
      <c r="G47" s="502">
        <f t="shared" si="4"/>
        <v>4.6400000000000006</v>
      </c>
      <c r="H47" s="502">
        <f t="shared" si="4"/>
        <v>5.5932175000000015</v>
      </c>
      <c r="I47" s="502">
        <f t="shared" si="4"/>
        <v>6.1474609999999998</v>
      </c>
      <c r="J47" s="502">
        <f t="shared" si="4"/>
        <v>6.0707402500000001</v>
      </c>
      <c r="K47" s="502">
        <f t="shared" si="4"/>
        <v>6.1476054999999983</v>
      </c>
      <c r="L47" s="502">
        <f t="shared" si="4"/>
        <v>6.5907450000000001</v>
      </c>
      <c r="M47" s="502">
        <f t="shared" si="4"/>
        <v>3.4925437499999994</v>
      </c>
      <c r="N47" s="502">
        <f t="shared" si="4"/>
        <v>0</v>
      </c>
      <c r="O47" s="502">
        <f t="shared" si="4"/>
        <v>0</v>
      </c>
      <c r="P47" s="502">
        <f t="shared" si="4"/>
        <v>0</v>
      </c>
      <c r="Q47" s="502">
        <f t="shared" ref="Q47:V47" si="5">Q20+Q45</f>
        <v>0</v>
      </c>
      <c r="R47" s="502">
        <f t="shared" si="5"/>
        <v>0</v>
      </c>
      <c r="S47" s="502">
        <f t="shared" si="5"/>
        <v>0</v>
      </c>
      <c r="T47" s="502">
        <f t="shared" si="5"/>
        <v>0</v>
      </c>
      <c r="U47" s="502">
        <f t="shared" si="5"/>
        <v>0</v>
      </c>
      <c r="V47" s="502">
        <f t="shared" si="5"/>
        <v>0</v>
      </c>
      <c r="W47" s="446"/>
    </row>
    <row r="48" spans="1:23" x14ac:dyDescent="0.2">
      <c r="A48" s="446"/>
      <c r="B48" s="446" t="s">
        <v>271</v>
      </c>
      <c r="C48" s="525"/>
      <c r="D48" s="525"/>
      <c r="E48" s="525"/>
      <c r="F48" s="525"/>
      <c r="G48" s="525"/>
      <c r="H48" s="525"/>
      <c r="I48" s="525"/>
      <c r="J48" s="525"/>
      <c r="K48" s="525"/>
      <c r="L48" s="525"/>
      <c r="M48" s="525"/>
      <c r="N48" s="525"/>
      <c r="O48" s="525"/>
      <c r="P48" s="525"/>
      <c r="Q48" s="525"/>
      <c r="R48" s="525"/>
      <c r="S48" s="525"/>
      <c r="T48" s="525"/>
      <c r="U48" s="525"/>
      <c r="V48" s="525"/>
      <c r="W48" s="446"/>
    </row>
    <row r="49" spans="1:23" x14ac:dyDescent="0.2">
      <c r="A49" s="446"/>
      <c r="B49" s="446"/>
      <c r="C49" s="446"/>
      <c r="D49" s="446"/>
      <c r="E49" s="446"/>
      <c r="F49" s="446"/>
      <c r="G49" s="446"/>
      <c r="H49" s="446"/>
      <c r="I49" s="446"/>
      <c r="J49" s="446"/>
      <c r="K49" s="446"/>
      <c r="L49" s="446"/>
      <c r="M49" s="446"/>
      <c r="N49" s="446"/>
      <c r="O49" s="446"/>
      <c r="P49" s="446"/>
      <c r="Q49" s="446"/>
      <c r="R49" s="446"/>
      <c r="S49" s="446"/>
      <c r="T49" s="446"/>
      <c r="U49" s="446"/>
      <c r="V49" s="446"/>
      <c r="W49" s="446"/>
    </row>
    <row r="50" spans="1:23" x14ac:dyDescent="0.2">
      <c r="A50" s="446"/>
      <c r="B50" s="446"/>
      <c r="C50" s="446"/>
      <c r="D50" s="446"/>
      <c r="E50" s="446"/>
      <c r="F50" s="446"/>
      <c r="G50" s="446"/>
      <c r="H50" s="446"/>
      <c r="I50" s="446"/>
      <c r="J50" s="446"/>
      <c r="K50" s="446"/>
      <c r="L50" s="446"/>
      <c r="M50" s="446"/>
      <c r="N50" s="446"/>
      <c r="O50" s="446"/>
      <c r="P50" s="446"/>
      <c r="Q50" s="446"/>
      <c r="R50" s="446"/>
      <c r="S50" s="446"/>
      <c r="T50" s="446"/>
      <c r="U50" s="446"/>
      <c r="V50" s="446"/>
      <c r="W50" s="446"/>
    </row>
    <row r="51" spans="1:23" x14ac:dyDescent="0.2">
      <c r="A51" s="446"/>
      <c r="B51" s="446"/>
      <c r="C51" s="446"/>
      <c r="D51" s="446"/>
      <c r="E51" s="446"/>
      <c r="F51" s="446"/>
      <c r="G51" s="446"/>
      <c r="H51" s="446"/>
      <c r="I51" s="446"/>
      <c r="J51" s="446"/>
      <c r="K51" s="446"/>
      <c r="L51" s="446"/>
      <c r="M51" s="446"/>
      <c r="N51" s="446"/>
      <c r="O51" s="446"/>
      <c r="P51" s="446"/>
      <c r="Q51" s="446"/>
      <c r="R51" s="446"/>
      <c r="S51" s="446"/>
      <c r="T51" s="446"/>
      <c r="U51" s="446"/>
      <c r="V51" s="446"/>
      <c r="W51" s="446"/>
    </row>
    <row r="52" spans="1:23" x14ac:dyDescent="0.2">
      <c r="A52" s="446"/>
      <c r="B52" s="446"/>
      <c r="C52" s="446"/>
      <c r="D52" s="446"/>
      <c r="E52" s="446"/>
      <c r="F52" s="446"/>
      <c r="G52" s="446"/>
      <c r="H52" s="446"/>
      <c r="I52" s="446"/>
      <c r="J52" s="446"/>
      <c r="K52" s="446"/>
      <c r="L52" s="446"/>
      <c r="M52" s="446"/>
      <c r="N52" s="446"/>
      <c r="O52" s="446"/>
      <c r="P52" s="446"/>
      <c r="Q52" s="446"/>
      <c r="R52" s="446"/>
      <c r="S52" s="446"/>
      <c r="T52" s="446"/>
      <c r="U52" s="446"/>
      <c r="V52" s="446"/>
      <c r="W52" s="446"/>
    </row>
    <row r="53" spans="1:23" x14ac:dyDescent="0.2">
      <c r="A53" s="446"/>
      <c r="B53" s="410" t="s">
        <v>786</v>
      </c>
      <c r="C53" s="446"/>
      <c r="D53" s="446"/>
      <c r="E53" s="446"/>
      <c r="F53" s="446"/>
      <c r="G53" s="446"/>
      <c r="H53" s="446"/>
      <c r="I53" s="473" t="s">
        <v>289</v>
      </c>
      <c r="J53" s="473"/>
      <c r="K53" s="473"/>
      <c r="L53" s="473"/>
      <c r="M53" s="473"/>
      <c r="N53" s="473"/>
      <c r="O53" s="473"/>
      <c r="P53" s="473"/>
      <c r="Q53" s="473"/>
      <c r="R53" s="473"/>
      <c r="S53" s="473"/>
      <c r="T53" s="473"/>
      <c r="U53" s="473"/>
      <c r="V53" s="473"/>
      <c r="W53" s="446"/>
    </row>
    <row r="54" spans="1:23" x14ac:dyDescent="0.2">
      <c r="A54" s="446"/>
      <c r="B54" s="446"/>
      <c r="C54" s="446"/>
      <c r="D54" s="446"/>
      <c r="E54" s="446"/>
      <c r="F54" s="446"/>
      <c r="G54" s="446"/>
      <c r="H54" s="446"/>
      <c r="I54" s="446"/>
      <c r="J54" s="446"/>
      <c r="K54" s="446"/>
      <c r="L54" s="446"/>
      <c r="M54" s="446"/>
      <c r="N54" s="446"/>
      <c r="O54" s="446"/>
      <c r="P54" s="446"/>
      <c r="Q54" s="446"/>
      <c r="R54" s="446"/>
      <c r="S54" s="446"/>
      <c r="T54" s="446"/>
      <c r="U54" s="446"/>
      <c r="V54" s="446"/>
      <c r="W54" s="446"/>
    </row>
    <row r="55" spans="1:23" x14ac:dyDescent="0.2">
      <c r="A55" s="446"/>
      <c r="B55" s="446"/>
      <c r="C55" s="446"/>
      <c r="D55" s="446"/>
      <c r="E55" s="446"/>
      <c r="F55" s="446"/>
      <c r="G55" s="446"/>
      <c r="H55" s="446"/>
      <c r="I55" s="446"/>
      <c r="J55" s="446"/>
      <c r="K55" s="446"/>
      <c r="L55" s="446"/>
      <c r="M55" s="446"/>
      <c r="N55" s="446"/>
      <c r="O55" s="446"/>
      <c r="P55" s="446"/>
      <c r="Q55" s="446"/>
      <c r="R55" s="446"/>
      <c r="S55" s="446"/>
      <c r="T55" s="446"/>
      <c r="U55" s="446"/>
      <c r="V55" s="446"/>
      <c r="W55" s="446"/>
    </row>
    <row r="56" spans="1:23" x14ac:dyDescent="0.2">
      <c r="A56" s="475"/>
      <c r="B56" s="475">
        <f>B6</f>
        <v>0</v>
      </c>
      <c r="C56" s="446"/>
      <c r="D56" s="446"/>
      <c r="E56" s="446"/>
      <c r="F56" s="446"/>
      <c r="G56" s="473" t="s">
        <v>81</v>
      </c>
      <c r="H56" s="520" t="str">
        <f>H6</f>
        <v>Crores</v>
      </c>
      <c r="I56" s="446"/>
      <c r="J56" s="446"/>
      <c r="K56" s="446"/>
      <c r="L56" s="446"/>
      <c r="M56" s="446"/>
      <c r="N56" s="446"/>
      <c r="O56" s="446"/>
      <c r="P56" s="446"/>
      <c r="Q56" s="446"/>
      <c r="R56" s="446"/>
      <c r="S56" s="446"/>
      <c r="T56" s="446"/>
      <c r="U56" s="446"/>
      <c r="V56" s="446"/>
      <c r="W56" s="446"/>
    </row>
    <row r="57" spans="1:23" x14ac:dyDescent="0.2">
      <c r="A57" s="446"/>
      <c r="B57" s="446"/>
      <c r="C57" s="446"/>
      <c r="D57" s="446"/>
      <c r="E57" s="453" t="s">
        <v>224</v>
      </c>
      <c r="F57" s="446"/>
      <c r="G57" s="446"/>
      <c r="H57" s="446"/>
      <c r="I57" s="446"/>
      <c r="J57" s="446"/>
      <c r="K57" s="446"/>
      <c r="L57" s="446"/>
      <c r="M57" s="446"/>
      <c r="N57" s="446"/>
      <c r="O57" s="446"/>
      <c r="P57" s="446"/>
      <c r="Q57" s="446"/>
      <c r="R57" s="446"/>
      <c r="S57" s="446"/>
      <c r="T57" s="446"/>
      <c r="U57" s="446"/>
      <c r="V57" s="446"/>
      <c r="W57" s="446"/>
    </row>
    <row r="58" spans="1:23" x14ac:dyDescent="0.2">
      <c r="A58" s="446"/>
      <c r="B58" s="476" t="s">
        <v>82</v>
      </c>
      <c r="C58" s="521" t="str">
        <f>C9</f>
        <v>MARCH</v>
      </c>
      <c r="D58" s="521" t="str">
        <f t="shared" ref="D58:P58" si="6">D9</f>
        <v>MARCH</v>
      </c>
      <c r="E58" s="521" t="str">
        <f t="shared" si="6"/>
        <v>MARCH</v>
      </c>
      <c r="F58" s="521" t="str">
        <f t="shared" si="6"/>
        <v>MARCH</v>
      </c>
      <c r="G58" s="521" t="str">
        <f t="shared" si="6"/>
        <v>MARCH</v>
      </c>
      <c r="H58" s="521" t="str">
        <f t="shared" si="6"/>
        <v>MARCH</v>
      </c>
      <c r="I58" s="521" t="str">
        <f t="shared" si="6"/>
        <v>MARCH</v>
      </c>
      <c r="J58" s="521" t="str">
        <f t="shared" si="6"/>
        <v>MARCH</v>
      </c>
      <c r="K58" s="521" t="str">
        <f t="shared" si="6"/>
        <v>MARCH</v>
      </c>
      <c r="L58" s="521" t="str">
        <f t="shared" si="6"/>
        <v>MARCH</v>
      </c>
      <c r="M58" s="521" t="str">
        <f t="shared" si="6"/>
        <v>MARCH</v>
      </c>
      <c r="N58" s="521" t="str">
        <f t="shared" si="6"/>
        <v>MARCH</v>
      </c>
      <c r="O58" s="521" t="str">
        <f t="shared" si="6"/>
        <v>MARCH</v>
      </c>
      <c r="P58" s="521" t="str">
        <f t="shared" si="6"/>
        <v>MARCH</v>
      </c>
      <c r="Q58" s="521" t="str">
        <f t="shared" ref="Q58:V58" si="7">Q9</f>
        <v>MARCH</v>
      </c>
      <c r="R58" s="521" t="str">
        <f t="shared" si="7"/>
        <v>MARCH</v>
      </c>
      <c r="S58" s="521" t="str">
        <f t="shared" si="7"/>
        <v>MARCH</v>
      </c>
      <c r="T58" s="521" t="str">
        <f t="shared" si="7"/>
        <v>MARCH</v>
      </c>
      <c r="U58" s="521" t="str">
        <f t="shared" si="7"/>
        <v>MARCH</v>
      </c>
      <c r="V58" s="521" t="str">
        <f t="shared" si="7"/>
        <v>MARCH</v>
      </c>
      <c r="W58" s="446"/>
    </row>
    <row r="59" spans="1:23" s="523" customFormat="1" x14ac:dyDescent="0.2">
      <c r="A59" s="474"/>
      <c r="B59" s="474"/>
      <c r="C59" s="510">
        <f>C10</f>
        <v>2020</v>
      </c>
      <c r="D59" s="510">
        <f t="shared" ref="D59:P59" si="8">D10</f>
        <v>2021</v>
      </c>
      <c r="E59" s="510">
        <f t="shared" si="8"/>
        <v>2022</v>
      </c>
      <c r="F59" s="510">
        <f t="shared" si="8"/>
        <v>2023</v>
      </c>
      <c r="G59" s="510">
        <f t="shared" si="8"/>
        <v>2024</v>
      </c>
      <c r="H59" s="510">
        <f t="shared" si="8"/>
        <v>2025</v>
      </c>
      <c r="I59" s="510">
        <f t="shared" si="8"/>
        <v>2026</v>
      </c>
      <c r="J59" s="510">
        <f t="shared" si="8"/>
        <v>2027</v>
      </c>
      <c r="K59" s="510">
        <f t="shared" si="8"/>
        <v>2028</v>
      </c>
      <c r="L59" s="510">
        <f t="shared" si="8"/>
        <v>2029</v>
      </c>
      <c r="M59" s="510">
        <f t="shared" si="8"/>
        <v>2030</v>
      </c>
      <c r="N59" s="510">
        <f t="shared" si="8"/>
        <v>2031</v>
      </c>
      <c r="O59" s="510">
        <f t="shared" si="8"/>
        <v>2032</v>
      </c>
      <c r="P59" s="510">
        <f t="shared" si="8"/>
        <v>2033</v>
      </c>
      <c r="Q59" s="510">
        <f t="shared" ref="Q59:V59" si="9">Q10</f>
        <v>2034</v>
      </c>
      <c r="R59" s="510">
        <f t="shared" si="9"/>
        <v>2035</v>
      </c>
      <c r="S59" s="510">
        <f t="shared" si="9"/>
        <v>2036</v>
      </c>
      <c r="T59" s="510">
        <f t="shared" si="9"/>
        <v>2037</v>
      </c>
      <c r="U59" s="510">
        <f t="shared" si="9"/>
        <v>2038</v>
      </c>
      <c r="V59" s="510">
        <f t="shared" si="9"/>
        <v>2039</v>
      </c>
      <c r="W59" s="522"/>
    </row>
    <row r="60" spans="1:23" s="523" customFormat="1" x14ac:dyDescent="0.2">
      <c r="A60" s="522"/>
      <c r="B60" s="522" t="s">
        <v>272</v>
      </c>
      <c r="C60" s="510" t="str">
        <f>C11</f>
        <v>AUD.</v>
      </c>
      <c r="D60" s="510" t="str">
        <f t="shared" ref="D60:P60" si="10">D11</f>
        <v>AUD.</v>
      </c>
      <c r="E60" s="510" t="str">
        <f t="shared" si="10"/>
        <v>AUD.</v>
      </c>
      <c r="F60" s="510" t="str">
        <f t="shared" si="10"/>
        <v>EST.</v>
      </c>
      <c r="G60" s="510" t="str">
        <f t="shared" si="10"/>
        <v>PROJ.</v>
      </c>
      <c r="H60" s="510" t="str">
        <f t="shared" si="10"/>
        <v>PROJ.</v>
      </c>
      <c r="I60" s="510" t="str">
        <f t="shared" si="10"/>
        <v>PROJ.</v>
      </c>
      <c r="J60" s="510" t="str">
        <f t="shared" si="10"/>
        <v>PROJ.</v>
      </c>
      <c r="K60" s="510" t="str">
        <f t="shared" si="10"/>
        <v>PROJ.</v>
      </c>
      <c r="L60" s="510" t="str">
        <f t="shared" si="10"/>
        <v>PROJ.</v>
      </c>
      <c r="M60" s="510" t="str">
        <f t="shared" si="10"/>
        <v>PROJ.</v>
      </c>
      <c r="N60" s="510" t="str">
        <f t="shared" si="10"/>
        <v>PROJ.</v>
      </c>
      <c r="O60" s="510" t="str">
        <f t="shared" si="10"/>
        <v>PROJ.</v>
      </c>
      <c r="P60" s="510" t="str">
        <f t="shared" si="10"/>
        <v>PROJ.</v>
      </c>
      <c r="Q60" s="510" t="str">
        <f t="shared" ref="Q60:V60" si="11">Q11</f>
        <v>PROJ.</v>
      </c>
      <c r="R60" s="510" t="str">
        <f t="shared" si="11"/>
        <v>PROJ.</v>
      </c>
      <c r="S60" s="510" t="str">
        <f t="shared" si="11"/>
        <v>PROJ.</v>
      </c>
      <c r="T60" s="510" t="str">
        <f t="shared" si="11"/>
        <v>PROJ.</v>
      </c>
      <c r="U60" s="510" t="str">
        <f t="shared" si="11"/>
        <v>PROJ.</v>
      </c>
      <c r="V60" s="510" t="str">
        <f t="shared" si="11"/>
        <v>PROJ.</v>
      </c>
      <c r="W60" s="522"/>
    </row>
    <row r="61" spans="1:23" x14ac:dyDescent="0.2">
      <c r="A61" s="446">
        <v>11</v>
      </c>
      <c r="B61" s="503" t="s">
        <v>273</v>
      </c>
      <c r="C61" s="188"/>
      <c r="D61" s="188"/>
      <c r="E61" s="188"/>
      <c r="F61" s="188"/>
      <c r="G61" s="188"/>
      <c r="H61" s="189"/>
      <c r="I61" s="188"/>
      <c r="J61" s="188"/>
      <c r="K61" s="188"/>
      <c r="L61" s="188"/>
      <c r="M61" s="188"/>
      <c r="N61" s="188"/>
      <c r="O61" s="188"/>
      <c r="P61" s="188"/>
      <c r="Q61" s="188"/>
      <c r="R61" s="188"/>
      <c r="S61" s="188"/>
      <c r="T61" s="188"/>
      <c r="U61" s="188"/>
      <c r="V61" s="188"/>
      <c r="W61" s="446"/>
    </row>
    <row r="62" spans="1:23" x14ac:dyDescent="0.2">
      <c r="A62" s="446"/>
      <c r="B62" s="446"/>
      <c r="C62" s="501"/>
      <c r="D62" s="501"/>
      <c r="E62" s="501"/>
      <c r="F62" s="501"/>
      <c r="G62" s="501"/>
      <c r="H62" s="515"/>
      <c r="I62" s="501"/>
      <c r="J62" s="501"/>
      <c r="K62" s="501"/>
      <c r="L62" s="501"/>
      <c r="M62" s="501"/>
      <c r="N62" s="501"/>
      <c r="O62" s="501"/>
      <c r="P62" s="501"/>
      <c r="Q62" s="501"/>
      <c r="R62" s="501"/>
      <c r="S62" s="501"/>
      <c r="T62" s="501"/>
      <c r="U62" s="501"/>
      <c r="V62" s="501"/>
      <c r="W62" s="446"/>
    </row>
    <row r="63" spans="1:23" x14ac:dyDescent="0.2">
      <c r="A63" s="446">
        <v>12</v>
      </c>
      <c r="B63" s="503" t="s">
        <v>274</v>
      </c>
      <c r="C63" s="183"/>
      <c r="D63" s="183"/>
      <c r="E63" s="183"/>
      <c r="F63" s="183"/>
      <c r="G63" s="183"/>
      <c r="H63" s="183"/>
      <c r="I63" s="183"/>
      <c r="J63" s="183"/>
      <c r="K63" s="183"/>
      <c r="L63" s="183"/>
      <c r="M63" s="183"/>
      <c r="N63" s="183"/>
      <c r="O63" s="183"/>
      <c r="P63" s="183"/>
      <c r="Q63" s="183"/>
      <c r="R63" s="183"/>
      <c r="S63" s="183"/>
      <c r="T63" s="183"/>
      <c r="U63" s="183"/>
      <c r="V63" s="183"/>
      <c r="W63" s="446"/>
    </row>
    <row r="64" spans="1:23" x14ac:dyDescent="0.2">
      <c r="A64" s="446"/>
      <c r="B64" s="446"/>
      <c r="C64" s="501"/>
      <c r="D64" s="501"/>
      <c r="E64" s="501"/>
      <c r="F64" s="501"/>
      <c r="G64" s="501"/>
      <c r="H64" s="515"/>
      <c r="I64" s="501"/>
      <c r="J64" s="501"/>
      <c r="K64" s="501"/>
      <c r="L64" s="501"/>
      <c r="M64" s="501"/>
      <c r="N64" s="501"/>
      <c r="O64" s="501"/>
      <c r="P64" s="501"/>
      <c r="Q64" s="501"/>
      <c r="R64" s="501"/>
      <c r="S64" s="501"/>
      <c r="T64" s="501"/>
      <c r="U64" s="501"/>
      <c r="V64" s="501"/>
      <c r="W64" s="446"/>
    </row>
    <row r="65" spans="1:23" x14ac:dyDescent="0.2">
      <c r="A65" s="446">
        <v>13</v>
      </c>
      <c r="B65" s="513" t="s">
        <v>851</v>
      </c>
      <c r="C65" s="183"/>
      <c r="D65" s="183"/>
      <c r="E65" s="183"/>
      <c r="F65" s="190">
        <v>4</v>
      </c>
      <c r="G65" s="183">
        <f>'INTT &amp; REPAY'!G11</f>
        <v>10.8</v>
      </c>
      <c r="H65" s="183">
        <f>'INTT &amp; REPAY'!H11</f>
        <v>9.360000000000003</v>
      </c>
      <c r="I65" s="183">
        <f>'INTT &amp; REPAY'!I11</f>
        <v>7.5600000000000138</v>
      </c>
      <c r="J65" s="183">
        <f>'INTT &amp; REPAY'!J11</f>
        <v>5.4000000000000092</v>
      </c>
      <c r="K65" s="183">
        <f>'INTT &amp; REPAY'!K11</f>
        <v>3.0000000000000129</v>
      </c>
      <c r="L65" s="183">
        <f>'INTT &amp; REPAY'!L11</f>
        <v>1.0658141036401503E-14</v>
      </c>
      <c r="M65" s="183">
        <f>'INTT &amp; REPAY'!M11</f>
        <v>0</v>
      </c>
      <c r="N65" s="183"/>
      <c r="O65" s="190"/>
      <c r="P65" s="183"/>
      <c r="Q65" s="183"/>
      <c r="R65" s="183"/>
      <c r="S65" s="183"/>
      <c r="T65" s="183"/>
      <c r="U65" s="183"/>
      <c r="V65" s="183"/>
      <c r="W65" s="446"/>
    </row>
    <row r="66" spans="1:23" x14ac:dyDescent="0.2">
      <c r="A66" s="446"/>
      <c r="B66" s="450"/>
      <c r="C66" s="501"/>
      <c r="D66" s="501"/>
      <c r="E66" s="501"/>
      <c r="F66" s="501"/>
      <c r="G66" s="501"/>
      <c r="H66" s="515"/>
      <c r="I66" s="501"/>
      <c r="J66" s="501"/>
      <c r="K66" s="501"/>
      <c r="L66" s="501"/>
      <c r="M66" s="501"/>
      <c r="N66" s="501"/>
      <c r="O66" s="501"/>
      <c r="P66" s="501"/>
      <c r="Q66" s="501"/>
      <c r="R66" s="501"/>
      <c r="S66" s="501"/>
      <c r="T66" s="501"/>
      <c r="U66" s="501"/>
      <c r="V66" s="501"/>
      <c r="W66" s="446"/>
    </row>
    <row r="67" spans="1:23" x14ac:dyDescent="0.2">
      <c r="A67" s="446"/>
      <c r="B67" s="450" t="s">
        <v>850</v>
      </c>
      <c r="C67" s="183"/>
      <c r="D67" s="183"/>
      <c r="E67" s="183">
        <v>2</v>
      </c>
      <c r="F67" s="183">
        <v>0.92</v>
      </c>
      <c r="G67" s="183">
        <v>0.04</v>
      </c>
      <c r="H67" s="183">
        <v>0.02</v>
      </c>
      <c r="I67" s="183">
        <v>0</v>
      </c>
      <c r="J67" s="183"/>
      <c r="K67" s="183"/>
      <c r="L67" s="183"/>
      <c r="M67" s="183"/>
      <c r="N67" s="183"/>
      <c r="O67" s="183"/>
      <c r="P67" s="183"/>
      <c r="Q67" s="183"/>
      <c r="R67" s="183"/>
      <c r="S67" s="183"/>
      <c r="T67" s="183"/>
      <c r="U67" s="183"/>
      <c r="V67" s="183"/>
      <c r="W67" s="446"/>
    </row>
    <row r="68" spans="1:23" x14ac:dyDescent="0.2">
      <c r="A68" s="446"/>
      <c r="B68" s="446"/>
      <c r="C68" s="501"/>
      <c r="D68" s="501"/>
      <c r="E68" s="501"/>
      <c r="F68" s="501"/>
      <c r="G68" s="501"/>
      <c r="H68" s="515"/>
      <c r="I68" s="501"/>
      <c r="J68" s="501"/>
      <c r="K68" s="501"/>
      <c r="L68" s="501"/>
      <c r="M68" s="501"/>
      <c r="N68" s="501"/>
      <c r="O68" s="501"/>
      <c r="P68" s="501"/>
      <c r="Q68" s="501"/>
      <c r="R68" s="501"/>
      <c r="S68" s="501"/>
      <c r="T68" s="501"/>
      <c r="U68" s="501"/>
      <c r="V68" s="501"/>
      <c r="W68" s="446"/>
    </row>
    <row r="69" spans="1:23" x14ac:dyDescent="0.2">
      <c r="A69" s="446"/>
      <c r="B69" s="187"/>
      <c r="C69" s="183"/>
      <c r="D69" s="183"/>
      <c r="E69" s="183"/>
      <c r="F69" s="183"/>
      <c r="G69" s="183"/>
      <c r="H69" s="183"/>
      <c r="I69" s="183"/>
      <c r="J69" s="183"/>
      <c r="K69" s="183"/>
      <c r="L69" s="183"/>
      <c r="M69" s="183"/>
      <c r="N69" s="183"/>
      <c r="O69" s="183"/>
      <c r="P69" s="183"/>
      <c r="Q69" s="183"/>
      <c r="R69" s="183"/>
      <c r="S69" s="183"/>
      <c r="T69" s="183"/>
      <c r="U69" s="183"/>
      <c r="V69" s="183"/>
      <c r="W69" s="446"/>
    </row>
    <row r="70" spans="1:23" x14ac:dyDescent="0.2">
      <c r="A70" s="446"/>
      <c r="B70" s="187"/>
      <c r="C70" s="183"/>
      <c r="D70" s="183"/>
      <c r="E70" s="183"/>
      <c r="F70" s="183"/>
      <c r="G70" s="183"/>
      <c r="H70" s="183"/>
      <c r="I70" s="183"/>
      <c r="J70" s="183"/>
      <c r="K70" s="183"/>
      <c r="L70" s="183"/>
      <c r="M70" s="183"/>
      <c r="N70" s="183"/>
      <c r="O70" s="183"/>
      <c r="P70" s="183"/>
      <c r="Q70" s="183"/>
      <c r="R70" s="183"/>
      <c r="S70" s="183"/>
      <c r="T70" s="183"/>
      <c r="U70" s="183"/>
      <c r="V70" s="183"/>
      <c r="W70" s="446"/>
    </row>
    <row r="71" spans="1:23" x14ac:dyDescent="0.2">
      <c r="A71" s="446">
        <v>14</v>
      </c>
      <c r="B71" s="503" t="s">
        <v>275</v>
      </c>
      <c r="C71" s="183"/>
      <c r="D71" s="183"/>
      <c r="E71" s="183"/>
      <c r="F71" s="183"/>
      <c r="G71" s="183"/>
      <c r="H71" s="190"/>
      <c r="I71" s="183"/>
      <c r="J71" s="183"/>
      <c r="K71" s="183"/>
      <c r="L71" s="183"/>
      <c r="M71" s="183"/>
      <c r="N71" s="183"/>
      <c r="O71" s="183"/>
      <c r="P71" s="183"/>
      <c r="Q71" s="183"/>
      <c r="R71" s="183"/>
      <c r="S71" s="183"/>
      <c r="T71" s="183"/>
      <c r="U71" s="183"/>
      <c r="V71" s="183"/>
      <c r="W71" s="446"/>
    </row>
    <row r="72" spans="1:23" x14ac:dyDescent="0.2">
      <c r="A72" s="446"/>
      <c r="B72" s="503" t="s">
        <v>276</v>
      </c>
      <c r="C72" s="183"/>
      <c r="D72" s="183"/>
      <c r="E72" s="183"/>
      <c r="F72" s="183"/>
      <c r="G72" s="183"/>
      <c r="H72" s="190"/>
      <c r="I72" s="183"/>
      <c r="J72" s="183"/>
      <c r="K72" s="183"/>
      <c r="L72" s="183"/>
      <c r="M72" s="183"/>
      <c r="N72" s="183"/>
      <c r="O72" s="183"/>
      <c r="P72" s="183"/>
      <c r="Q72" s="183"/>
      <c r="R72" s="183"/>
      <c r="S72" s="183"/>
      <c r="T72" s="183"/>
      <c r="U72" s="183"/>
      <c r="V72" s="183"/>
      <c r="W72" s="446"/>
    </row>
    <row r="73" spans="1:23" x14ac:dyDescent="0.2">
      <c r="A73" s="446"/>
      <c r="B73" s="446"/>
      <c r="C73" s="501"/>
      <c r="D73" s="501"/>
      <c r="E73" s="501"/>
      <c r="F73" s="501"/>
      <c r="G73" s="501"/>
      <c r="H73" s="515"/>
      <c r="I73" s="501"/>
      <c r="J73" s="501"/>
      <c r="K73" s="501"/>
      <c r="L73" s="501"/>
      <c r="M73" s="501"/>
      <c r="N73" s="501"/>
      <c r="O73" s="501"/>
      <c r="P73" s="501"/>
      <c r="Q73" s="501"/>
      <c r="R73" s="501"/>
      <c r="S73" s="501"/>
      <c r="T73" s="501"/>
      <c r="U73" s="501"/>
      <c r="V73" s="501"/>
      <c r="W73" s="446"/>
    </row>
    <row r="74" spans="1:23" x14ac:dyDescent="0.2">
      <c r="A74" s="446">
        <v>15</v>
      </c>
      <c r="B74" s="503" t="s">
        <v>277</v>
      </c>
      <c r="C74" s="183"/>
      <c r="D74" s="183"/>
      <c r="E74" s="183"/>
      <c r="F74" s="183"/>
      <c r="G74" s="183"/>
      <c r="H74" s="183"/>
      <c r="I74" s="183"/>
      <c r="J74" s="183"/>
      <c r="K74" s="183"/>
      <c r="L74" s="183"/>
      <c r="M74" s="183"/>
      <c r="N74" s="183"/>
      <c r="O74" s="183"/>
      <c r="P74" s="183"/>
      <c r="Q74" s="183"/>
      <c r="R74" s="183"/>
      <c r="S74" s="183"/>
      <c r="T74" s="183"/>
      <c r="U74" s="183"/>
      <c r="V74" s="183"/>
      <c r="W74" s="446"/>
    </row>
    <row r="75" spans="1:23" x14ac:dyDescent="0.2">
      <c r="A75" s="446"/>
      <c r="B75" s="446"/>
      <c r="C75" s="501"/>
      <c r="D75" s="501"/>
      <c r="E75" s="501"/>
      <c r="F75" s="501"/>
      <c r="G75" s="501"/>
      <c r="H75" s="515"/>
      <c r="I75" s="501"/>
      <c r="J75" s="501"/>
      <c r="K75" s="501"/>
      <c r="L75" s="501"/>
      <c r="M75" s="501"/>
      <c r="N75" s="501"/>
      <c r="O75" s="501"/>
      <c r="P75" s="501"/>
      <c r="Q75" s="501"/>
      <c r="R75" s="501"/>
      <c r="S75" s="501"/>
      <c r="T75" s="501"/>
      <c r="U75" s="501"/>
      <c r="V75" s="501"/>
      <c r="W75" s="446"/>
    </row>
    <row r="76" spans="1:23" x14ac:dyDescent="0.2">
      <c r="A76" s="446">
        <v>16</v>
      </c>
      <c r="B76" s="450" t="s">
        <v>852</v>
      </c>
      <c r="C76" s="407">
        <v>0.04</v>
      </c>
      <c r="D76" s="407">
        <v>0.12</v>
      </c>
      <c r="E76" s="183">
        <v>1.1599999999999999</v>
      </c>
      <c r="F76" s="183"/>
      <c r="G76" s="183"/>
      <c r="H76" s="183"/>
      <c r="I76" s="183"/>
      <c r="J76" s="183"/>
      <c r="K76" s="183"/>
      <c r="L76" s="407"/>
      <c r="M76" s="407"/>
      <c r="N76" s="183"/>
      <c r="O76" s="183"/>
      <c r="P76" s="183"/>
      <c r="Q76" s="183"/>
      <c r="R76" s="183"/>
      <c r="S76" s="183"/>
      <c r="T76" s="183"/>
      <c r="U76" s="183"/>
      <c r="V76" s="183"/>
      <c r="W76" s="446"/>
    </row>
    <row r="77" spans="1:23" x14ac:dyDescent="0.2">
      <c r="A77" s="446"/>
      <c r="B77" s="474" t="s">
        <v>937</v>
      </c>
      <c r="C77" s="526">
        <f>'Oper.St.'!C97+INPUT!C20</f>
        <v>0</v>
      </c>
      <c r="D77" s="526">
        <f>'Oper.St.'!D97+INPUT!D20+C77</f>
        <v>0</v>
      </c>
      <c r="E77" s="526">
        <f>'Oper.St.'!E97+INPUT!E20+D77</f>
        <v>0</v>
      </c>
      <c r="F77" s="526">
        <f>'Oper.St.'!F97+INPUT!F20+E77</f>
        <v>0</v>
      </c>
      <c r="G77" s="526">
        <f>'Oper.St.'!G97+INPUT!G20+F77</f>
        <v>0</v>
      </c>
      <c r="H77" s="526">
        <f>'Oper.St.'!H97+INPUT!H20+G77</f>
        <v>0</v>
      </c>
      <c r="I77" s="526">
        <f>'Oper.St.'!I97+INPUT!I20+H77</f>
        <v>0</v>
      </c>
      <c r="J77" s="526">
        <f>'Oper.St.'!J97+INPUT!J20+I77</f>
        <v>0</v>
      </c>
      <c r="K77" s="526">
        <f>'Oper.St.'!K97+INPUT!K20+J77</f>
        <v>0</v>
      </c>
      <c r="L77" s="526">
        <f>'Oper.St.'!L97+INPUT!L20+K77</f>
        <v>0</v>
      </c>
      <c r="M77" s="526">
        <f>'Oper.St.'!M97+INPUT!M20+L77</f>
        <v>0</v>
      </c>
      <c r="N77" s="526">
        <f>'Oper.St.'!N97+INPUT!N20+M77</f>
        <v>0</v>
      </c>
      <c r="O77" s="526">
        <f>'Oper.St.'!O97+INPUT!O20+N77</f>
        <v>0</v>
      </c>
      <c r="P77" s="526">
        <f>'Oper.St.'!P97+INPUT!P20+O77</f>
        <v>0</v>
      </c>
      <c r="Q77" s="526">
        <f>'Oper.St.'!Q97+INPUT!Q20+P77</f>
        <v>0</v>
      </c>
      <c r="R77" s="526">
        <f>'Oper.St.'!R97+INPUT!R20+Q77</f>
        <v>0</v>
      </c>
      <c r="S77" s="526">
        <f>'Oper.St.'!S97+INPUT!S20+R77</f>
        <v>0</v>
      </c>
      <c r="T77" s="526">
        <f>'Oper.St.'!T97+INPUT!T20+S77</f>
        <v>0</v>
      </c>
      <c r="U77" s="526">
        <f>'Oper.St.'!U97+INPUT!U20+T77</f>
        <v>0</v>
      </c>
      <c r="V77" s="526">
        <f>'Oper.St.'!V97+INPUT!V20+U77</f>
        <v>0</v>
      </c>
      <c r="W77" s="527"/>
    </row>
    <row r="78" spans="1:23" x14ac:dyDescent="0.2">
      <c r="A78" s="446">
        <v>17</v>
      </c>
      <c r="B78" s="474" t="s">
        <v>101</v>
      </c>
      <c r="C78" s="484">
        <f>SUM(C61:C77)</f>
        <v>0.04</v>
      </c>
      <c r="D78" s="484">
        <f t="shared" ref="D78:P78" si="12">SUM(D61:D77)</f>
        <v>0.12</v>
      </c>
      <c r="E78" s="484">
        <f t="shared" si="12"/>
        <v>3.16</v>
      </c>
      <c r="F78" s="484">
        <f t="shared" si="12"/>
        <v>4.92</v>
      </c>
      <c r="G78" s="484">
        <f t="shared" si="12"/>
        <v>10.84</v>
      </c>
      <c r="H78" s="484">
        <f t="shared" si="12"/>
        <v>9.3800000000000026</v>
      </c>
      <c r="I78" s="484">
        <f t="shared" si="12"/>
        <v>7.5600000000000138</v>
      </c>
      <c r="J78" s="484">
        <f t="shared" si="12"/>
        <v>5.4000000000000092</v>
      </c>
      <c r="K78" s="484">
        <f t="shared" si="12"/>
        <v>3.0000000000000129</v>
      </c>
      <c r="L78" s="484">
        <f t="shared" si="12"/>
        <v>1.0658141036401503E-14</v>
      </c>
      <c r="M78" s="484">
        <f t="shared" si="12"/>
        <v>0</v>
      </c>
      <c r="N78" s="484">
        <f t="shared" si="12"/>
        <v>0</v>
      </c>
      <c r="O78" s="484">
        <f t="shared" si="12"/>
        <v>0</v>
      </c>
      <c r="P78" s="484">
        <f t="shared" si="12"/>
        <v>0</v>
      </c>
      <c r="Q78" s="484">
        <f t="shared" ref="Q78:V78" si="13">SUM(Q61:Q77)</f>
        <v>0</v>
      </c>
      <c r="R78" s="484">
        <f t="shared" si="13"/>
        <v>0</v>
      </c>
      <c r="S78" s="484">
        <f t="shared" si="13"/>
        <v>0</v>
      </c>
      <c r="T78" s="484">
        <f t="shared" si="13"/>
        <v>0</v>
      </c>
      <c r="U78" s="484">
        <f t="shared" si="13"/>
        <v>0</v>
      </c>
      <c r="V78" s="484">
        <f t="shared" si="13"/>
        <v>0</v>
      </c>
      <c r="W78" s="446"/>
    </row>
    <row r="79" spans="1:23" x14ac:dyDescent="0.2">
      <c r="A79" s="446"/>
      <c r="B79" s="446"/>
      <c r="C79" s="504"/>
      <c r="D79" s="504"/>
      <c r="E79" s="504"/>
      <c r="F79" s="504"/>
      <c r="G79" s="504"/>
      <c r="H79" s="505"/>
      <c r="I79" s="504"/>
      <c r="J79" s="504"/>
      <c r="K79" s="504"/>
      <c r="L79" s="504"/>
      <c r="M79" s="504"/>
      <c r="N79" s="504"/>
      <c r="O79" s="504"/>
      <c r="P79" s="504"/>
      <c r="Q79" s="504"/>
      <c r="R79" s="504"/>
      <c r="S79" s="504"/>
      <c r="T79" s="504"/>
      <c r="U79" s="504"/>
      <c r="V79" s="504"/>
      <c r="W79" s="446"/>
    </row>
    <row r="80" spans="1:23" x14ac:dyDescent="0.2">
      <c r="A80" s="446">
        <v>18</v>
      </c>
      <c r="B80" s="474" t="s">
        <v>102</v>
      </c>
      <c r="C80" s="502">
        <f t="shared" ref="C80:P80" si="14">C78+C47</f>
        <v>0.2</v>
      </c>
      <c r="D80" s="502">
        <f t="shared" si="14"/>
        <v>0.27</v>
      </c>
      <c r="E80" s="502">
        <f t="shared" si="14"/>
        <v>4.41</v>
      </c>
      <c r="F80" s="502">
        <f>F78+F47</f>
        <v>6.6029999999999998</v>
      </c>
      <c r="G80" s="502">
        <f t="shared" si="14"/>
        <v>15.48</v>
      </c>
      <c r="H80" s="502">
        <f t="shared" si="14"/>
        <v>14.973217500000004</v>
      </c>
      <c r="I80" s="502">
        <f t="shared" si="14"/>
        <v>13.707461000000013</v>
      </c>
      <c r="J80" s="502">
        <f t="shared" si="14"/>
        <v>11.470740250000009</v>
      </c>
      <c r="K80" s="502">
        <f t="shared" si="14"/>
        <v>9.1476055000000116</v>
      </c>
      <c r="L80" s="502">
        <f t="shared" si="14"/>
        <v>6.5907450000000107</v>
      </c>
      <c r="M80" s="502">
        <f t="shared" si="14"/>
        <v>3.4925437499999994</v>
      </c>
      <c r="N80" s="502">
        <f t="shared" si="14"/>
        <v>0</v>
      </c>
      <c r="O80" s="502">
        <f t="shared" si="14"/>
        <v>0</v>
      </c>
      <c r="P80" s="502">
        <f t="shared" si="14"/>
        <v>0</v>
      </c>
      <c r="Q80" s="502">
        <f t="shared" ref="Q80:V80" si="15">Q78+Q47</f>
        <v>0</v>
      </c>
      <c r="R80" s="502">
        <f t="shared" si="15"/>
        <v>0</v>
      </c>
      <c r="S80" s="502">
        <f t="shared" si="15"/>
        <v>0</v>
      </c>
      <c r="T80" s="502">
        <f t="shared" si="15"/>
        <v>0</v>
      </c>
      <c r="U80" s="502">
        <f t="shared" si="15"/>
        <v>0</v>
      </c>
      <c r="V80" s="502">
        <f t="shared" si="15"/>
        <v>0</v>
      </c>
      <c r="W80" s="446"/>
    </row>
    <row r="81" spans="1:23" x14ac:dyDescent="0.2">
      <c r="A81" s="446"/>
      <c r="B81" s="446" t="s">
        <v>103</v>
      </c>
      <c r="C81" s="528"/>
      <c r="D81" s="528"/>
      <c r="E81" s="528"/>
      <c r="F81" s="528"/>
      <c r="G81" s="528"/>
      <c r="H81" s="529"/>
      <c r="I81" s="528"/>
      <c r="J81" s="528"/>
      <c r="K81" s="528"/>
      <c r="L81" s="528"/>
      <c r="M81" s="528"/>
      <c r="N81" s="528"/>
      <c r="O81" s="528"/>
      <c r="P81" s="528"/>
      <c r="Q81" s="528"/>
      <c r="R81" s="528"/>
      <c r="S81" s="528"/>
      <c r="T81" s="528"/>
      <c r="U81" s="528"/>
      <c r="V81" s="528"/>
      <c r="W81" s="446"/>
    </row>
    <row r="82" spans="1:23" x14ac:dyDescent="0.2">
      <c r="A82" s="446"/>
      <c r="B82" s="446"/>
      <c r="C82" s="504"/>
      <c r="D82" s="504"/>
      <c r="E82" s="504"/>
      <c r="F82" s="504"/>
      <c r="G82" s="504"/>
      <c r="H82" s="505"/>
      <c r="I82" s="504"/>
      <c r="J82" s="504"/>
      <c r="K82" s="504"/>
      <c r="L82" s="504"/>
      <c r="M82" s="504"/>
      <c r="N82" s="504"/>
      <c r="O82" s="504"/>
      <c r="P82" s="504"/>
      <c r="Q82" s="504"/>
      <c r="R82" s="504"/>
      <c r="S82" s="504"/>
      <c r="T82" s="504"/>
      <c r="U82" s="504"/>
      <c r="V82" s="504"/>
      <c r="W82" s="446"/>
    </row>
    <row r="83" spans="1:23" x14ac:dyDescent="0.2">
      <c r="A83" s="446"/>
      <c r="B83" s="474" t="s">
        <v>104</v>
      </c>
      <c r="C83" s="501"/>
      <c r="D83" s="501"/>
      <c r="E83" s="501"/>
      <c r="F83" s="501"/>
      <c r="G83" s="501"/>
      <c r="H83" s="515"/>
      <c r="I83" s="501"/>
      <c r="J83" s="501"/>
      <c r="K83" s="501"/>
      <c r="L83" s="501"/>
      <c r="M83" s="501"/>
      <c r="N83" s="501"/>
      <c r="O83" s="501"/>
      <c r="P83" s="501"/>
      <c r="Q83" s="501"/>
      <c r="R83" s="501"/>
      <c r="S83" s="501"/>
      <c r="T83" s="501"/>
      <c r="U83" s="501"/>
      <c r="V83" s="501"/>
      <c r="W83" s="446"/>
    </row>
    <row r="84" spans="1:23" x14ac:dyDescent="0.2">
      <c r="A84" s="446">
        <v>19</v>
      </c>
      <c r="B84" s="446" t="s">
        <v>105</v>
      </c>
      <c r="C84" s="183">
        <v>0.01</v>
      </c>
      <c r="D84" s="183">
        <v>0.01</v>
      </c>
      <c r="E84" s="183">
        <v>0.01</v>
      </c>
      <c r="F84" s="183">
        <v>8</v>
      </c>
      <c r="G84" s="190">
        <v>10.119999999999999</v>
      </c>
      <c r="H84" s="190">
        <v>10.119999999999999</v>
      </c>
      <c r="I84" s="190">
        <v>10.119999999999999</v>
      </c>
      <c r="J84" s="190">
        <v>10.119999999999999</v>
      </c>
      <c r="K84" s="190">
        <v>10.119999999999999</v>
      </c>
      <c r="L84" s="190">
        <v>10.119999999999999</v>
      </c>
      <c r="M84" s="190">
        <v>10.119999999999999</v>
      </c>
      <c r="N84" s="183"/>
      <c r="O84" s="183"/>
      <c r="P84" s="190"/>
      <c r="Q84" s="190"/>
      <c r="R84" s="190"/>
      <c r="S84" s="190"/>
      <c r="T84" s="190"/>
      <c r="U84" s="190"/>
      <c r="V84" s="190"/>
      <c r="W84" s="446"/>
    </row>
    <row r="85" spans="1:23" x14ac:dyDescent="0.2">
      <c r="A85" s="446"/>
      <c r="B85" s="446"/>
      <c r="C85" s="501"/>
      <c r="D85" s="501"/>
      <c r="E85" s="501"/>
      <c r="F85" s="501"/>
      <c r="G85" s="501"/>
      <c r="H85" s="515"/>
      <c r="I85" s="501"/>
      <c r="J85" s="501"/>
      <c r="K85" s="501"/>
      <c r="L85" s="501"/>
      <c r="M85" s="501"/>
      <c r="N85" s="501"/>
      <c r="O85" s="501"/>
      <c r="P85" s="501"/>
      <c r="Q85" s="501"/>
      <c r="R85" s="501"/>
      <c r="S85" s="501"/>
      <c r="T85" s="501"/>
      <c r="U85" s="501"/>
      <c r="V85" s="501"/>
      <c r="W85" s="446"/>
    </row>
    <row r="86" spans="1:23" x14ac:dyDescent="0.2">
      <c r="A86" s="446">
        <v>20</v>
      </c>
      <c r="B86" s="446" t="s">
        <v>106</v>
      </c>
      <c r="C86" s="183"/>
      <c r="D86" s="183"/>
      <c r="E86" s="183"/>
      <c r="F86" s="183"/>
      <c r="G86" s="183"/>
      <c r="H86" s="183"/>
      <c r="I86" s="183"/>
      <c r="J86" s="183"/>
      <c r="K86" s="183"/>
      <c r="L86" s="183"/>
      <c r="M86" s="183"/>
      <c r="N86" s="183"/>
      <c r="O86" s="183"/>
      <c r="P86" s="183"/>
      <c r="Q86" s="183"/>
      <c r="R86" s="183"/>
      <c r="S86" s="183"/>
      <c r="T86" s="183"/>
      <c r="U86" s="183"/>
      <c r="V86" s="183"/>
      <c r="W86" s="446"/>
    </row>
    <row r="87" spans="1:23" x14ac:dyDescent="0.2">
      <c r="A87" s="446"/>
      <c r="B87" s="446"/>
      <c r="C87" s="501"/>
      <c r="D87" s="501"/>
      <c r="E87" s="501"/>
      <c r="F87" s="501"/>
      <c r="G87" s="501"/>
      <c r="H87" s="515"/>
      <c r="I87" s="501"/>
      <c r="J87" s="501"/>
      <c r="K87" s="501"/>
      <c r="L87" s="501"/>
      <c r="M87" s="501"/>
      <c r="N87" s="501"/>
      <c r="O87" s="501"/>
      <c r="P87" s="501"/>
      <c r="Q87" s="501"/>
      <c r="R87" s="501"/>
      <c r="S87" s="501"/>
      <c r="T87" s="501"/>
      <c r="U87" s="501"/>
      <c r="V87" s="501"/>
      <c r="W87" s="446"/>
    </row>
    <row r="88" spans="1:23" x14ac:dyDescent="0.2">
      <c r="A88" s="446">
        <v>21</v>
      </c>
      <c r="B88" s="446" t="s">
        <v>107</v>
      </c>
      <c r="C88" s="183"/>
      <c r="D88" s="183"/>
      <c r="E88" s="183"/>
      <c r="F88" s="183"/>
      <c r="G88" s="183"/>
      <c r="H88" s="183"/>
      <c r="I88" s="183"/>
      <c r="J88" s="183"/>
      <c r="K88" s="183"/>
      <c r="L88" s="183"/>
      <c r="M88" s="183"/>
      <c r="N88" s="183"/>
      <c r="O88" s="183"/>
      <c r="P88" s="183"/>
      <c r="Q88" s="183"/>
      <c r="R88" s="183"/>
      <c r="S88" s="183"/>
      <c r="T88" s="183"/>
      <c r="U88" s="183"/>
      <c r="V88" s="183"/>
      <c r="W88" s="446"/>
    </row>
    <row r="89" spans="1:23" x14ac:dyDescent="0.2">
      <c r="A89" s="446"/>
      <c r="B89" s="446"/>
      <c r="C89" s="501"/>
      <c r="D89" s="501"/>
      <c r="E89" s="501"/>
      <c r="F89" s="501"/>
      <c r="G89" s="501"/>
      <c r="H89" s="515"/>
      <c r="I89" s="501"/>
      <c r="J89" s="501"/>
      <c r="K89" s="501"/>
      <c r="L89" s="501"/>
      <c r="M89" s="501"/>
      <c r="N89" s="501"/>
      <c r="O89" s="501"/>
      <c r="P89" s="501"/>
      <c r="Q89" s="501"/>
      <c r="R89" s="501"/>
      <c r="S89" s="501"/>
      <c r="T89" s="501"/>
      <c r="U89" s="501"/>
      <c r="V89" s="501"/>
      <c r="W89" s="446"/>
    </row>
    <row r="90" spans="1:23" x14ac:dyDescent="0.2">
      <c r="A90" s="446">
        <v>22</v>
      </c>
      <c r="B90" s="503" t="s">
        <v>108</v>
      </c>
      <c r="C90" s="501"/>
      <c r="D90" s="501"/>
      <c r="E90" s="501"/>
      <c r="F90" s="501"/>
      <c r="G90" s="501"/>
      <c r="H90" s="515"/>
      <c r="I90" s="501"/>
      <c r="J90" s="501"/>
      <c r="K90" s="501"/>
      <c r="L90" s="501"/>
      <c r="M90" s="501"/>
      <c r="N90" s="501"/>
      <c r="O90" s="501"/>
      <c r="P90" s="501"/>
      <c r="Q90" s="501"/>
      <c r="R90" s="501"/>
      <c r="S90" s="501"/>
      <c r="T90" s="501"/>
      <c r="U90" s="501"/>
      <c r="V90" s="501"/>
      <c r="W90" s="446"/>
    </row>
    <row r="91" spans="1:23" x14ac:dyDescent="0.2">
      <c r="A91" s="446"/>
      <c r="B91" s="450" t="s">
        <v>758</v>
      </c>
      <c r="C91" s="183"/>
      <c r="D91" s="183"/>
      <c r="E91" s="183"/>
      <c r="F91" s="183"/>
      <c r="G91" s="183"/>
      <c r="H91" s="183"/>
      <c r="I91" s="183"/>
      <c r="J91" s="183"/>
      <c r="K91" s="183"/>
      <c r="L91" s="183"/>
      <c r="M91" s="183"/>
      <c r="N91" s="183"/>
      <c r="O91" s="183"/>
      <c r="P91" s="183"/>
      <c r="Q91" s="183"/>
      <c r="R91" s="183"/>
      <c r="S91" s="183"/>
      <c r="T91" s="183"/>
      <c r="U91" s="183"/>
      <c r="V91" s="183"/>
      <c r="W91" s="446"/>
    </row>
    <row r="92" spans="1:23" x14ac:dyDescent="0.2">
      <c r="A92" s="446"/>
      <c r="B92" s="450" t="s">
        <v>1053</v>
      </c>
      <c r="C92" s="501"/>
      <c r="D92" s="501"/>
      <c r="E92" s="501"/>
      <c r="F92" s="501"/>
      <c r="G92" s="501"/>
      <c r="H92" s="515"/>
      <c r="I92" s="501"/>
      <c r="J92" s="501"/>
      <c r="K92" s="501"/>
      <c r="L92" s="501"/>
      <c r="M92" s="501"/>
      <c r="N92" s="501"/>
      <c r="O92" s="501"/>
      <c r="P92" s="501"/>
      <c r="Q92" s="501"/>
      <c r="R92" s="501"/>
      <c r="S92" s="501"/>
      <c r="T92" s="501"/>
      <c r="U92" s="501"/>
      <c r="V92" s="501"/>
      <c r="W92" s="446"/>
    </row>
    <row r="93" spans="1:23" x14ac:dyDescent="0.2">
      <c r="A93" s="446"/>
      <c r="B93" s="187" t="s">
        <v>1081</v>
      </c>
      <c r="C93" s="183"/>
      <c r="D93" s="183"/>
      <c r="E93" s="183"/>
      <c r="F93" s="190"/>
      <c r="G93" s="183"/>
      <c r="H93" s="183"/>
      <c r="I93" s="183"/>
      <c r="J93" s="183"/>
      <c r="K93" s="183"/>
      <c r="L93" s="183"/>
      <c r="M93" s="183"/>
      <c r="N93" s="183"/>
      <c r="O93" s="190"/>
      <c r="P93" s="183"/>
      <c r="Q93" s="183"/>
      <c r="R93" s="183"/>
      <c r="S93" s="183"/>
      <c r="T93" s="183"/>
      <c r="U93" s="183"/>
      <c r="V93" s="183"/>
      <c r="W93" s="446"/>
    </row>
    <row r="94" spans="1:23" x14ac:dyDescent="0.2">
      <c r="A94" s="446"/>
      <c r="B94" s="187"/>
      <c r="C94" s="183"/>
      <c r="D94" s="183"/>
      <c r="E94" s="183"/>
      <c r="F94" s="190"/>
      <c r="G94" s="183"/>
      <c r="H94" s="183"/>
      <c r="I94" s="183"/>
      <c r="J94" s="183"/>
      <c r="K94" s="183"/>
      <c r="L94" s="183"/>
      <c r="M94" s="183"/>
      <c r="N94" s="183"/>
      <c r="O94" s="183"/>
      <c r="P94" s="183"/>
      <c r="Q94" s="183"/>
      <c r="R94" s="183"/>
      <c r="S94" s="183"/>
      <c r="T94" s="183"/>
      <c r="U94" s="183"/>
      <c r="V94" s="183"/>
      <c r="W94" s="446"/>
    </row>
    <row r="95" spans="1:23" x14ac:dyDescent="0.2">
      <c r="A95" s="446"/>
      <c r="B95" s="187"/>
      <c r="C95" s="183"/>
      <c r="D95" s="183"/>
      <c r="E95" s="183"/>
      <c r="F95" s="183"/>
      <c r="G95" s="183"/>
      <c r="H95" s="190"/>
      <c r="I95" s="183"/>
      <c r="J95" s="183"/>
      <c r="K95" s="183"/>
      <c r="L95" s="183"/>
      <c r="M95" s="183"/>
      <c r="N95" s="183"/>
      <c r="O95" s="183"/>
      <c r="P95" s="183"/>
      <c r="Q95" s="183"/>
      <c r="R95" s="183"/>
      <c r="S95" s="183"/>
      <c r="T95" s="183"/>
      <c r="U95" s="183"/>
      <c r="V95" s="183"/>
      <c r="W95" s="446"/>
    </row>
    <row r="96" spans="1:23" x14ac:dyDescent="0.2">
      <c r="A96" s="446">
        <v>23</v>
      </c>
      <c r="B96" s="503" t="s">
        <v>109</v>
      </c>
      <c r="C96" s="501">
        <f>'Oper.St.'!C102+INPUT!C19</f>
        <v>6.9999999999999979E-2</v>
      </c>
      <c r="D96" s="501">
        <f>'Oper.St.'!D102+INPUT!D19+Liab!C96</f>
        <v>0.15999999999999998</v>
      </c>
      <c r="E96" s="501">
        <f>'Oper.St.'!E102+INPUT!E19+Liab!D96</f>
        <v>0.43000000000000016</v>
      </c>
      <c r="F96" s="501">
        <f>'Oper.St.'!F102+INPUT!F19+Liab!E96</f>
        <v>0.64700000000000002</v>
      </c>
      <c r="G96" s="501">
        <f>'Oper.St.'!G102+INPUT!G19+Liab!F96</f>
        <v>1.2070000000000003</v>
      </c>
      <c r="H96" s="501">
        <f>'Oper.St.'!H102+INPUT!H19+Liab!G96</f>
        <v>2.404507500000002</v>
      </c>
      <c r="I96" s="501">
        <f>'Oper.St.'!I102+INPUT!I19+Liab!H96</f>
        <v>4.031916500000003</v>
      </c>
      <c r="J96" s="501">
        <f>'Oper.St.'!J102+INPUT!J19+Liab!I96</f>
        <v>5.8536437500000034</v>
      </c>
      <c r="K96" s="501">
        <f>'Oper.St.'!K102+INPUT!K19+Liab!J96</f>
        <v>7.8547232499999993</v>
      </c>
      <c r="L96" s="501">
        <f>'Oper.St.'!L102+INPUT!L19+Liab!K96</f>
        <v>10.07312825</v>
      </c>
      <c r="M96" s="501">
        <f>'Oper.St.'!M102+INPUT!M19+Liab!L96</f>
        <v>12.622396999999999</v>
      </c>
      <c r="N96" s="501">
        <f>'Oper.St.'!N102+INPUT!N19+Liab!M96</f>
        <v>12.622396999999999</v>
      </c>
      <c r="O96" s="501">
        <f>'Oper.St.'!O102+INPUT!O19+Liab!N96</f>
        <v>12.622396999999999</v>
      </c>
      <c r="P96" s="501">
        <f>'Oper.St.'!P102+INPUT!P19+Liab!O96</f>
        <v>12.622396999999999</v>
      </c>
      <c r="Q96" s="501">
        <f>'Oper.St.'!Q102+INPUT!Q19+Liab!P96</f>
        <v>12.622396999999999</v>
      </c>
      <c r="R96" s="501">
        <f>'Oper.St.'!R102+INPUT!R19+Liab!Q96</f>
        <v>12.622396999999999</v>
      </c>
      <c r="S96" s="501">
        <f>'Oper.St.'!S102+INPUT!S19+Liab!R96</f>
        <v>12.622396999999999</v>
      </c>
      <c r="T96" s="501">
        <f>'Oper.St.'!T102+INPUT!T19+Liab!S96</f>
        <v>12.622396999999999</v>
      </c>
      <c r="U96" s="501">
        <f>'Oper.St.'!U102+INPUT!U19+Liab!T96</f>
        <v>12.622396999999999</v>
      </c>
      <c r="V96" s="501">
        <f>'Oper.St.'!V102+INPUT!V19+Liab!U96</f>
        <v>12.622396999999999</v>
      </c>
      <c r="W96" s="446"/>
    </row>
    <row r="97" spans="1:23" x14ac:dyDescent="0.2">
      <c r="A97" s="446"/>
      <c r="B97" s="446" t="s">
        <v>664</v>
      </c>
      <c r="C97" s="266"/>
      <c r="D97" s="266"/>
      <c r="E97" s="266"/>
      <c r="F97" s="183"/>
      <c r="G97" s="183"/>
      <c r="H97" s="183"/>
      <c r="I97" s="183"/>
      <c r="J97" s="183"/>
      <c r="K97" s="183"/>
      <c r="L97" s="183"/>
      <c r="M97" s="266"/>
      <c r="N97" s="266"/>
      <c r="O97" s="183"/>
      <c r="P97" s="183"/>
      <c r="Q97" s="183"/>
      <c r="R97" s="183"/>
      <c r="S97" s="183"/>
      <c r="T97" s="190"/>
      <c r="U97" s="190"/>
      <c r="V97" s="190"/>
      <c r="W97" s="446"/>
    </row>
    <row r="98" spans="1:23" x14ac:dyDescent="0.2">
      <c r="A98" s="446"/>
      <c r="B98" s="446" t="s">
        <v>500</v>
      </c>
      <c r="C98" s="501"/>
      <c r="D98" s="501"/>
      <c r="E98" s="501"/>
      <c r="F98" s="501"/>
      <c r="G98" s="501"/>
      <c r="H98" s="501"/>
      <c r="I98" s="501"/>
      <c r="J98" s="501"/>
      <c r="K98" s="501"/>
      <c r="L98" s="501"/>
      <c r="M98" s="501"/>
      <c r="N98" s="501"/>
      <c r="O98" s="501"/>
      <c r="P98" s="501"/>
      <c r="Q98" s="501"/>
      <c r="R98" s="501"/>
      <c r="S98" s="501"/>
      <c r="T98" s="501"/>
      <c r="U98" s="501"/>
      <c r="V98" s="501"/>
      <c r="W98" s="446"/>
    </row>
    <row r="99" spans="1:23" x14ac:dyDescent="0.2">
      <c r="A99" s="446"/>
      <c r="B99" s="446"/>
      <c r="C99" s="504"/>
      <c r="D99" s="504"/>
      <c r="E99" s="504"/>
      <c r="F99" s="504"/>
      <c r="G99" s="504"/>
      <c r="H99" s="504"/>
      <c r="I99" s="504"/>
      <c r="J99" s="504"/>
      <c r="K99" s="504"/>
      <c r="L99" s="504"/>
      <c r="M99" s="504"/>
      <c r="N99" s="504"/>
      <c r="O99" s="504"/>
      <c r="P99" s="504"/>
      <c r="Q99" s="504"/>
      <c r="R99" s="504"/>
      <c r="S99" s="504"/>
      <c r="T99" s="504"/>
      <c r="U99" s="504"/>
      <c r="V99" s="504"/>
      <c r="W99" s="446"/>
    </row>
    <row r="100" spans="1:23" x14ac:dyDescent="0.2">
      <c r="A100" s="446"/>
      <c r="B100" s="446"/>
      <c r="C100" s="501"/>
      <c r="D100" s="501"/>
      <c r="E100" s="501"/>
      <c r="F100" s="501"/>
      <c r="G100" s="501"/>
      <c r="H100" s="501"/>
      <c r="I100" s="501"/>
      <c r="J100" s="501"/>
      <c r="K100" s="501"/>
      <c r="L100" s="501"/>
      <c r="M100" s="501"/>
      <c r="N100" s="501"/>
      <c r="O100" s="501"/>
      <c r="P100" s="501"/>
      <c r="Q100" s="501"/>
      <c r="R100" s="501"/>
      <c r="S100" s="501"/>
      <c r="T100" s="501"/>
      <c r="U100" s="501"/>
      <c r="V100" s="501"/>
      <c r="W100" s="446"/>
    </row>
    <row r="101" spans="1:23" x14ac:dyDescent="0.2">
      <c r="A101" s="446">
        <v>24</v>
      </c>
      <c r="B101" s="474" t="s">
        <v>104</v>
      </c>
      <c r="C101" s="484">
        <f>SUM(C84:C98)</f>
        <v>7.9999999999999974E-2</v>
      </c>
      <c r="D101" s="484">
        <f t="shared" ref="D101:P101" si="16">SUM(D84:D98)</f>
        <v>0.16999999999999998</v>
      </c>
      <c r="E101" s="484">
        <f t="shared" si="16"/>
        <v>0.44000000000000017</v>
      </c>
      <c r="F101" s="484">
        <f t="shared" si="16"/>
        <v>8.6470000000000002</v>
      </c>
      <c r="G101" s="484">
        <f t="shared" si="16"/>
        <v>11.327</v>
      </c>
      <c r="H101" s="484">
        <f t="shared" si="16"/>
        <v>12.524507500000002</v>
      </c>
      <c r="I101" s="484">
        <f t="shared" si="16"/>
        <v>14.151916500000002</v>
      </c>
      <c r="J101" s="484">
        <f t="shared" si="16"/>
        <v>15.973643750000003</v>
      </c>
      <c r="K101" s="484">
        <f t="shared" si="16"/>
        <v>17.974723249999997</v>
      </c>
      <c r="L101" s="484">
        <f t="shared" si="16"/>
        <v>20.193128250000001</v>
      </c>
      <c r="M101" s="484">
        <f t="shared" si="16"/>
        <v>22.742396999999997</v>
      </c>
      <c r="N101" s="484">
        <f t="shared" si="16"/>
        <v>12.622396999999999</v>
      </c>
      <c r="O101" s="484">
        <f t="shared" si="16"/>
        <v>12.622396999999999</v>
      </c>
      <c r="P101" s="484">
        <f t="shared" si="16"/>
        <v>12.622396999999999</v>
      </c>
      <c r="Q101" s="484">
        <f t="shared" ref="Q101:V101" si="17">SUM(Q84:Q98)</f>
        <v>12.622396999999999</v>
      </c>
      <c r="R101" s="484">
        <f t="shared" si="17"/>
        <v>12.622396999999999</v>
      </c>
      <c r="S101" s="484">
        <f t="shared" si="17"/>
        <v>12.622396999999999</v>
      </c>
      <c r="T101" s="484">
        <f t="shared" si="17"/>
        <v>12.622396999999999</v>
      </c>
      <c r="U101" s="484">
        <f t="shared" si="17"/>
        <v>12.622396999999999</v>
      </c>
      <c r="V101" s="484">
        <f t="shared" si="17"/>
        <v>12.622396999999999</v>
      </c>
      <c r="W101" s="446"/>
    </row>
    <row r="102" spans="1:23" x14ac:dyDescent="0.2">
      <c r="A102" s="446"/>
      <c r="B102" s="446"/>
      <c r="C102" s="504"/>
      <c r="D102" s="504"/>
      <c r="E102" s="504"/>
      <c r="F102" s="504"/>
      <c r="G102" s="504"/>
      <c r="H102" s="505"/>
      <c r="I102" s="504"/>
      <c r="J102" s="504"/>
      <c r="K102" s="504"/>
      <c r="L102" s="504"/>
      <c r="M102" s="504"/>
      <c r="N102" s="504"/>
      <c r="O102" s="504"/>
      <c r="P102" s="504"/>
      <c r="Q102" s="504"/>
      <c r="R102" s="504"/>
      <c r="S102" s="504"/>
      <c r="T102" s="504"/>
      <c r="U102" s="504"/>
      <c r="V102" s="504"/>
      <c r="W102" s="446"/>
    </row>
    <row r="103" spans="1:23" x14ac:dyDescent="0.2">
      <c r="A103" s="446">
        <v>25</v>
      </c>
      <c r="B103" s="474" t="s">
        <v>111</v>
      </c>
      <c r="C103" s="484">
        <f>IF(C80+C84+C86+C88+C91+SUM(C93:C95)+C97=0,0,C101+C80)</f>
        <v>0.27999999999999997</v>
      </c>
      <c r="D103" s="484">
        <f t="shared" ref="D103:P103" si="18">IF(D80+D84+D86+D88+D91+SUM(D93:D95)+D97=0,0,D101+D80)</f>
        <v>0.44</v>
      </c>
      <c r="E103" s="484">
        <f t="shared" si="18"/>
        <v>4.8500000000000005</v>
      </c>
      <c r="F103" s="484">
        <f t="shared" si="18"/>
        <v>15.25</v>
      </c>
      <c r="G103" s="484">
        <f t="shared" si="18"/>
        <v>26.807000000000002</v>
      </c>
      <c r="H103" s="484">
        <f t="shared" si="18"/>
        <v>27.497725000000006</v>
      </c>
      <c r="I103" s="484">
        <f t="shared" si="18"/>
        <v>27.859377500000015</v>
      </c>
      <c r="J103" s="484">
        <f t="shared" si="18"/>
        <v>27.444384000000014</v>
      </c>
      <c r="K103" s="484">
        <f t="shared" si="18"/>
        <v>27.122328750000008</v>
      </c>
      <c r="L103" s="484">
        <f t="shared" si="18"/>
        <v>26.783873250000013</v>
      </c>
      <c r="M103" s="484">
        <f t="shared" si="18"/>
        <v>26.234940749999996</v>
      </c>
      <c r="N103" s="484">
        <f t="shared" si="18"/>
        <v>0</v>
      </c>
      <c r="O103" s="484">
        <f t="shared" si="18"/>
        <v>0</v>
      </c>
      <c r="P103" s="484">
        <f t="shared" si="18"/>
        <v>0</v>
      </c>
      <c r="Q103" s="484">
        <f t="shared" ref="Q103:V103" si="19">IF(Q80+Q84+Q86+Q88+Q91+SUM(Q93:Q95)+Q97=0,0,Q101+Q80)</f>
        <v>0</v>
      </c>
      <c r="R103" s="484">
        <f t="shared" si="19"/>
        <v>0</v>
      </c>
      <c r="S103" s="484">
        <f t="shared" si="19"/>
        <v>0</v>
      </c>
      <c r="T103" s="484">
        <f t="shared" si="19"/>
        <v>0</v>
      </c>
      <c r="U103" s="484">
        <f t="shared" si="19"/>
        <v>0</v>
      </c>
      <c r="V103" s="484">
        <f t="shared" si="19"/>
        <v>0</v>
      </c>
      <c r="W103" s="446"/>
    </row>
    <row r="104" spans="1:23" x14ac:dyDescent="0.2">
      <c r="A104" s="446"/>
      <c r="B104" s="446"/>
      <c r="C104" s="446"/>
      <c r="D104" s="446"/>
      <c r="E104" s="446"/>
      <c r="F104" s="446"/>
      <c r="G104" s="446"/>
      <c r="H104" s="446"/>
      <c r="I104" s="446"/>
      <c r="J104" s="446"/>
      <c r="K104" s="446"/>
      <c r="L104" s="446"/>
      <c r="M104" s="446"/>
      <c r="N104" s="446"/>
      <c r="O104" s="446"/>
      <c r="P104" s="446"/>
      <c r="Q104" s="446"/>
      <c r="R104" s="446"/>
      <c r="S104" s="446"/>
      <c r="T104" s="446"/>
      <c r="U104" s="446"/>
      <c r="V104" s="446"/>
      <c r="W104" s="446"/>
    </row>
    <row r="105" spans="1:23" s="533" customFormat="1" x14ac:dyDescent="0.2">
      <c r="A105" s="530"/>
      <c r="B105" s="531" t="s">
        <v>749</v>
      </c>
      <c r="C105" s="532">
        <f>C103-Asset!C93</f>
        <v>0</v>
      </c>
      <c r="D105" s="532">
        <f>D103-Asset!D93</f>
        <v>0</v>
      </c>
      <c r="E105" s="532">
        <f>E103-Asset!E93</f>
        <v>0</v>
      </c>
      <c r="F105" s="532">
        <f>F103-Asset!F93</f>
        <v>0</v>
      </c>
      <c r="G105" s="532">
        <f>G103-Asset!G93</f>
        <v>-2.999999999996561E-3</v>
      </c>
      <c r="H105" s="532">
        <f>H103-Asset!H93</f>
        <v>2.8118750000061254E-3</v>
      </c>
      <c r="I105" s="532">
        <f>I103-Asset!I93</f>
        <v>-3.7182499999843799E-3</v>
      </c>
      <c r="J105" s="532">
        <f>J103-Asset!J93</f>
        <v>-1.1711874999882355E-3</v>
      </c>
      <c r="K105" s="532">
        <f>K103-Asset!K93</f>
        <v>-8.7537499999257307E-4</v>
      </c>
      <c r="L105" s="532">
        <f>L103-Asset!L93</f>
        <v>8.1450000001126455E-4</v>
      </c>
      <c r="M105" s="532">
        <f>M103-Asset!M93</f>
        <v>-4.4670625000087227E-3</v>
      </c>
      <c r="N105" s="532">
        <f>N103-Asset!N93</f>
        <v>0</v>
      </c>
      <c r="O105" s="532">
        <f>O103-Asset!O93</f>
        <v>0</v>
      </c>
      <c r="P105" s="532">
        <f>P103-Asset!P93</f>
        <v>0</v>
      </c>
      <c r="Q105" s="532">
        <f>Q103-Asset!Q93</f>
        <v>0</v>
      </c>
      <c r="R105" s="532">
        <f>R103-Asset!R93</f>
        <v>0</v>
      </c>
      <c r="S105" s="532">
        <f>S103-Asset!S93</f>
        <v>0</v>
      </c>
      <c r="T105" s="532">
        <f>T103-Asset!T93</f>
        <v>0</v>
      </c>
      <c r="U105" s="532">
        <f>U103-Asset!U93</f>
        <v>0</v>
      </c>
      <c r="V105" s="532">
        <f>V103-Asset!V93</f>
        <v>0</v>
      </c>
      <c r="W105" s="530"/>
    </row>
  </sheetData>
  <phoneticPr fontId="0" type="noConversion"/>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W103"/>
  <sheetViews>
    <sheetView topLeftCell="A64" zoomScale="85" zoomScaleNormal="85" workbookViewId="0">
      <selection activeCell="O48" sqref="O48"/>
    </sheetView>
  </sheetViews>
  <sheetFormatPr defaultRowHeight="12.75" x14ac:dyDescent="0.2"/>
  <cols>
    <col min="1" max="1" width="2.85546875" style="418" customWidth="1"/>
    <col min="2" max="2" width="26.7109375" style="418" customWidth="1"/>
    <col min="3" max="22" width="9.85546875" style="418" customWidth="1"/>
    <col min="23" max="16384" width="9.140625" style="418"/>
  </cols>
  <sheetData>
    <row r="1" spans="1:23" x14ac:dyDescent="0.2">
      <c r="A1" s="446"/>
      <c r="B1" s="446"/>
      <c r="C1" s="446"/>
      <c r="D1" s="446"/>
      <c r="E1" s="446"/>
      <c r="F1" s="446"/>
      <c r="G1" s="446"/>
      <c r="H1" s="446"/>
      <c r="I1" s="473" t="s">
        <v>112</v>
      </c>
      <c r="J1" s="473"/>
      <c r="K1" s="473"/>
      <c r="L1" s="473"/>
      <c r="M1" s="473"/>
      <c r="N1" s="473"/>
      <c r="O1" s="473"/>
      <c r="P1" s="473"/>
      <c r="Q1" s="473"/>
      <c r="R1" s="473"/>
      <c r="S1" s="473"/>
      <c r="T1" s="473"/>
      <c r="U1" s="473"/>
      <c r="V1" s="473"/>
      <c r="W1" s="446"/>
    </row>
    <row r="2" spans="1:23" x14ac:dyDescent="0.2">
      <c r="A2" s="446"/>
      <c r="B2" s="446"/>
      <c r="C2" s="446"/>
      <c r="D2" s="446"/>
      <c r="E2" s="446"/>
      <c r="F2" s="446"/>
      <c r="G2" s="446"/>
      <c r="H2" s="446"/>
      <c r="I2" s="446"/>
      <c r="J2" s="446"/>
      <c r="K2" s="446"/>
      <c r="L2" s="446"/>
      <c r="M2" s="446"/>
      <c r="N2" s="446"/>
      <c r="O2" s="446"/>
      <c r="P2" s="446"/>
      <c r="Q2" s="446"/>
      <c r="R2" s="446"/>
      <c r="S2" s="446"/>
      <c r="T2" s="446"/>
      <c r="U2" s="446"/>
      <c r="V2" s="446"/>
      <c r="W2" s="446"/>
    </row>
    <row r="3" spans="1:23" x14ac:dyDescent="0.2">
      <c r="A3" s="446"/>
      <c r="B3" s="410" t="s">
        <v>786</v>
      </c>
      <c r="C3" s="446"/>
      <c r="D3" s="446"/>
      <c r="E3" s="446"/>
      <c r="F3" s="446"/>
      <c r="G3" s="446"/>
      <c r="H3" s="446"/>
      <c r="I3" s="446"/>
      <c r="J3" s="446"/>
      <c r="K3" s="446"/>
      <c r="L3" s="446"/>
      <c r="M3" s="446"/>
      <c r="N3" s="446"/>
      <c r="O3" s="446"/>
      <c r="P3" s="446"/>
      <c r="Q3" s="446"/>
      <c r="R3" s="446"/>
      <c r="S3" s="446"/>
      <c r="T3" s="446"/>
      <c r="U3" s="446"/>
      <c r="V3" s="446"/>
      <c r="W3" s="446"/>
    </row>
    <row r="4" spans="1:23" x14ac:dyDescent="0.2">
      <c r="A4" s="446"/>
      <c r="B4" s="446"/>
      <c r="C4" s="446"/>
      <c r="D4" s="474" t="s">
        <v>222</v>
      </c>
      <c r="E4" s="446"/>
      <c r="F4" s="446"/>
      <c r="G4" s="446"/>
      <c r="H4" s="446"/>
      <c r="I4" s="446"/>
      <c r="J4" s="446"/>
      <c r="K4" s="446"/>
      <c r="L4" s="446"/>
      <c r="M4" s="446"/>
      <c r="N4" s="446"/>
      <c r="O4" s="446"/>
      <c r="P4" s="446"/>
      <c r="Q4" s="446"/>
      <c r="R4" s="446"/>
      <c r="S4" s="446"/>
      <c r="T4" s="446"/>
      <c r="U4" s="446"/>
      <c r="V4" s="446"/>
      <c r="W4" s="446"/>
    </row>
    <row r="5" spans="1:23" x14ac:dyDescent="0.2">
      <c r="A5" s="446"/>
      <c r="B5" s="446"/>
      <c r="C5" s="446"/>
      <c r="D5" s="446"/>
      <c r="E5" s="446"/>
      <c r="F5" s="446"/>
      <c r="G5" s="446"/>
      <c r="H5" s="446"/>
      <c r="I5" s="446"/>
      <c r="J5" s="446"/>
      <c r="K5" s="446"/>
      <c r="L5" s="446"/>
      <c r="M5" s="446"/>
      <c r="N5" s="446"/>
      <c r="O5" s="446"/>
      <c r="P5" s="446"/>
      <c r="Q5" s="446"/>
      <c r="R5" s="446"/>
      <c r="S5" s="446"/>
      <c r="T5" s="446"/>
      <c r="U5" s="446"/>
      <c r="V5" s="446"/>
      <c r="W5" s="446"/>
    </row>
    <row r="6" spans="1:23" x14ac:dyDescent="0.2">
      <c r="A6" s="475"/>
      <c r="B6" s="475">
        <f>Liab!B6</f>
        <v>0</v>
      </c>
      <c r="C6" s="446"/>
      <c r="D6" s="446"/>
      <c r="E6" s="446"/>
      <c r="F6" s="446"/>
      <c r="G6" s="473" t="s">
        <v>81</v>
      </c>
      <c r="H6" s="473" t="str">
        <f>Liab!H6</f>
        <v>Crores</v>
      </c>
      <c r="I6" s="446"/>
      <c r="J6" s="446"/>
      <c r="K6" s="446"/>
      <c r="L6" s="446"/>
      <c r="M6" s="446"/>
      <c r="N6" s="446"/>
      <c r="O6" s="446"/>
      <c r="P6" s="446"/>
      <c r="Q6" s="446"/>
      <c r="R6" s="446"/>
      <c r="S6" s="446"/>
      <c r="T6" s="446"/>
      <c r="U6" s="446"/>
      <c r="V6" s="446"/>
      <c r="W6" s="446"/>
    </row>
    <row r="7" spans="1:23" x14ac:dyDescent="0.2">
      <c r="A7" s="446"/>
      <c r="B7" s="446"/>
      <c r="C7" s="446"/>
      <c r="D7" s="446"/>
      <c r="E7" s="446"/>
      <c r="F7" s="446"/>
      <c r="G7" s="446"/>
      <c r="H7" s="446"/>
      <c r="I7" s="446"/>
      <c r="J7" s="446"/>
      <c r="K7" s="446"/>
      <c r="L7" s="446"/>
      <c r="M7" s="446"/>
      <c r="N7" s="446"/>
      <c r="O7" s="446"/>
      <c r="P7" s="446"/>
      <c r="Q7" s="446"/>
      <c r="R7" s="446"/>
      <c r="S7" s="446"/>
      <c r="T7" s="446"/>
      <c r="U7" s="446"/>
      <c r="V7" s="446"/>
      <c r="W7" s="446"/>
    </row>
    <row r="8" spans="1:23" x14ac:dyDescent="0.2">
      <c r="A8" s="446"/>
      <c r="B8" s="474" t="s">
        <v>113</v>
      </c>
      <c r="C8" s="446"/>
      <c r="D8" s="446"/>
      <c r="E8" s="453"/>
      <c r="F8" s="446"/>
      <c r="G8" s="446"/>
      <c r="H8" s="446"/>
      <c r="I8" s="446"/>
      <c r="J8" s="446"/>
      <c r="K8" s="446"/>
      <c r="L8" s="446"/>
      <c r="M8" s="446"/>
      <c r="N8" s="446"/>
      <c r="O8" s="446"/>
      <c r="P8" s="446"/>
      <c r="Q8" s="446"/>
      <c r="R8" s="446"/>
      <c r="S8" s="446"/>
      <c r="T8" s="446"/>
      <c r="U8" s="446"/>
      <c r="V8" s="446"/>
      <c r="W8" s="446"/>
    </row>
    <row r="9" spans="1:23" x14ac:dyDescent="0.2">
      <c r="A9" s="446"/>
      <c r="B9" s="534" t="s">
        <v>82</v>
      </c>
      <c r="C9" s="477" t="str">
        <f>'Oper.St.'!C10</f>
        <v>MARCH</v>
      </c>
      <c r="D9" s="477" t="str">
        <f>'Oper.St.'!D10</f>
        <v>MARCH</v>
      </c>
      <c r="E9" s="477" t="str">
        <f>'Oper.St.'!E10</f>
        <v>MARCH</v>
      </c>
      <c r="F9" s="477" t="str">
        <f>'Oper.St.'!F10</f>
        <v>MARCH</v>
      </c>
      <c r="G9" s="477" t="str">
        <f>'Oper.St.'!G10</f>
        <v>MARCH</v>
      </c>
      <c r="H9" s="477" t="str">
        <f>'Oper.St.'!H10</f>
        <v>MARCH</v>
      </c>
      <c r="I9" s="477" t="str">
        <f>'Oper.St.'!I10</f>
        <v>MARCH</v>
      </c>
      <c r="J9" s="477" t="str">
        <f>'Oper.St.'!J10</f>
        <v>MARCH</v>
      </c>
      <c r="K9" s="477" t="str">
        <f>'Oper.St.'!K10</f>
        <v>MARCH</v>
      </c>
      <c r="L9" s="477" t="str">
        <f>'Oper.St.'!L10</f>
        <v>MARCH</v>
      </c>
      <c r="M9" s="477" t="str">
        <f>'Oper.St.'!M10</f>
        <v>MARCH</v>
      </c>
      <c r="N9" s="477" t="str">
        <f>'Oper.St.'!N10</f>
        <v>MARCH</v>
      </c>
      <c r="O9" s="477" t="str">
        <f>'Oper.St.'!O10</f>
        <v>MARCH</v>
      </c>
      <c r="P9" s="477" t="str">
        <f>'Oper.St.'!P10</f>
        <v>MARCH</v>
      </c>
      <c r="Q9" s="477" t="str">
        <f>'Oper.St.'!Q10</f>
        <v>MARCH</v>
      </c>
      <c r="R9" s="477" t="str">
        <f>'Oper.St.'!R10</f>
        <v>MARCH</v>
      </c>
      <c r="S9" s="477" t="str">
        <f>'Oper.St.'!S10</f>
        <v>MARCH</v>
      </c>
      <c r="T9" s="477" t="str">
        <f>'Oper.St.'!T10</f>
        <v>MARCH</v>
      </c>
      <c r="U9" s="477" t="str">
        <f>'Oper.St.'!U10</f>
        <v>MARCH</v>
      </c>
      <c r="V9" s="477" t="str">
        <f>'Oper.St.'!V10</f>
        <v>MARCH</v>
      </c>
      <c r="W9" s="446"/>
    </row>
    <row r="10" spans="1:23" x14ac:dyDescent="0.2">
      <c r="A10" s="446"/>
      <c r="B10" s="446"/>
      <c r="C10" s="510">
        <f>'Oper.St.'!C11</f>
        <v>2020</v>
      </c>
      <c r="D10" s="510">
        <f>'Oper.St.'!D11</f>
        <v>2021</v>
      </c>
      <c r="E10" s="510">
        <f>'Oper.St.'!E11</f>
        <v>2022</v>
      </c>
      <c r="F10" s="510">
        <f>'Oper.St.'!F11</f>
        <v>2023</v>
      </c>
      <c r="G10" s="510">
        <f>'Oper.St.'!G11</f>
        <v>2024</v>
      </c>
      <c r="H10" s="510">
        <f>'Oper.St.'!H11</f>
        <v>2025</v>
      </c>
      <c r="I10" s="510">
        <f>'Oper.St.'!I11</f>
        <v>2026</v>
      </c>
      <c r="J10" s="510">
        <f>'Oper.St.'!J11</f>
        <v>2027</v>
      </c>
      <c r="K10" s="510">
        <f>'Oper.St.'!K11</f>
        <v>2028</v>
      </c>
      <c r="L10" s="510">
        <f>'Oper.St.'!L11</f>
        <v>2029</v>
      </c>
      <c r="M10" s="510">
        <f>'Oper.St.'!M11</f>
        <v>2030</v>
      </c>
      <c r="N10" s="510">
        <f>'Oper.St.'!N11</f>
        <v>2031</v>
      </c>
      <c r="O10" s="510">
        <f>'Oper.St.'!O11</f>
        <v>2032</v>
      </c>
      <c r="P10" s="510">
        <f>'Oper.St.'!P11</f>
        <v>2033</v>
      </c>
      <c r="Q10" s="510">
        <f>'Oper.St.'!Q11</f>
        <v>2034</v>
      </c>
      <c r="R10" s="510">
        <f>'Oper.St.'!R11</f>
        <v>2035</v>
      </c>
      <c r="S10" s="510">
        <f>'Oper.St.'!S11</f>
        <v>2036</v>
      </c>
      <c r="T10" s="510">
        <f>'Oper.St.'!T11</f>
        <v>2037</v>
      </c>
      <c r="U10" s="510">
        <f>'Oper.St.'!U11</f>
        <v>2038</v>
      </c>
      <c r="V10" s="510">
        <f>'Oper.St.'!V11</f>
        <v>2039</v>
      </c>
      <c r="W10" s="446"/>
    </row>
    <row r="11" spans="1:23" x14ac:dyDescent="0.2">
      <c r="A11" s="446"/>
      <c r="B11" s="474" t="s">
        <v>114</v>
      </c>
      <c r="C11" s="535" t="str">
        <f>'Oper.St.'!C12</f>
        <v>AUD.</v>
      </c>
      <c r="D11" s="535" t="str">
        <f>'Oper.St.'!D12</f>
        <v>AUD.</v>
      </c>
      <c r="E11" s="535" t="str">
        <f>'Oper.St.'!E12</f>
        <v>AUD.</v>
      </c>
      <c r="F11" s="535" t="str">
        <f>'Oper.St.'!F12</f>
        <v>EST.</v>
      </c>
      <c r="G11" s="535" t="str">
        <f>'Oper.St.'!G12</f>
        <v>PROJ.</v>
      </c>
      <c r="H11" s="535" t="str">
        <f>'Oper.St.'!H12</f>
        <v>PROJ.</v>
      </c>
      <c r="I11" s="535" t="str">
        <f>'Oper.St.'!I12</f>
        <v>PROJ.</v>
      </c>
      <c r="J11" s="535" t="str">
        <f>'Oper.St.'!J12</f>
        <v>PROJ.</v>
      </c>
      <c r="K11" s="535" t="str">
        <f>'Oper.St.'!K12</f>
        <v>PROJ.</v>
      </c>
      <c r="L11" s="535" t="str">
        <f>'Oper.St.'!L12</f>
        <v>PROJ.</v>
      </c>
      <c r="M11" s="510" t="str">
        <f>'Oper.St.'!M12</f>
        <v>PROJ.</v>
      </c>
      <c r="N11" s="510" t="str">
        <f>'Oper.St.'!N12</f>
        <v>PROJ.</v>
      </c>
      <c r="O11" s="535" t="str">
        <f>'Oper.St.'!O12</f>
        <v>PROJ.</v>
      </c>
      <c r="P11" s="535" t="str">
        <f>'Oper.St.'!P12</f>
        <v>PROJ.</v>
      </c>
      <c r="Q11" s="535" t="str">
        <f>'Oper.St.'!Q12</f>
        <v>PROJ.</v>
      </c>
      <c r="R11" s="535" t="str">
        <f>'Oper.St.'!R12</f>
        <v>PROJ.</v>
      </c>
      <c r="S11" s="535" t="str">
        <f>'Oper.St.'!S12</f>
        <v>PROJ.</v>
      </c>
      <c r="T11" s="535" t="str">
        <f>'Oper.St.'!T12</f>
        <v>PROJ.</v>
      </c>
      <c r="U11" s="535" t="str">
        <f>'Oper.St.'!U12</f>
        <v>PROJ.</v>
      </c>
      <c r="V11" s="535" t="str">
        <f>'Oper.St.'!V12</f>
        <v>PROJ.</v>
      </c>
      <c r="W11" s="446"/>
    </row>
    <row r="12" spans="1:23" x14ac:dyDescent="0.2">
      <c r="A12" s="446">
        <v>26</v>
      </c>
      <c r="B12" s="446" t="s">
        <v>115</v>
      </c>
      <c r="C12" s="183">
        <v>0.12</v>
      </c>
      <c r="D12" s="196">
        <v>0.19</v>
      </c>
      <c r="E12" s="188">
        <v>0.3</v>
      </c>
      <c r="F12" s="188">
        <v>0.3</v>
      </c>
      <c r="G12" s="188">
        <v>0.8</v>
      </c>
      <c r="H12" s="188">
        <v>0.92</v>
      </c>
      <c r="I12" s="188">
        <v>0.95</v>
      </c>
      <c r="J12" s="188">
        <v>0.95</v>
      </c>
      <c r="K12" s="188">
        <v>0.95</v>
      </c>
      <c r="L12" s="188">
        <v>1</v>
      </c>
      <c r="M12" s="188">
        <v>1</v>
      </c>
      <c r="N12" s="188"/>
      <c r="O12" s="188"/>
      <c r="P12" s="188"/>
      <c r="Q12" s="188"/>
      <c r="R12" s="188"/>
      <c r="S12" s="188"/>
      <c r="T12" s="188"/>
      <c r="U12" s="188"/>
      <c r="V12" s="188"/>
      <c r="W12" s="446"/>
    </row>
    <row r="13" spans="1:23" x14ac:dyDescent="0.2">
      <c r="A13" s="446"/>
      <c r="B13" s="446"/>
      <c r="C13" s="501"/>
      <c r="D13" s="420"/>
      <c r="E13" s="501"/>
      <c r="F13" s="501"/>
      <c r="G13" s="501"/>
      <c r="H13" s="515"/>
      <c r="I13" s="501"/>
      <c r="J13" s="501"/>
      <c r="K13" s="501"/>
      <c r="L13" s="501"/>
      <c r="M13" s="501"/>
      <c r="N13" s="501"/>
      <c r="O13" s="501"/>
      <c r="P13" s="501"/>
      <c r="Q13" s="501"/>
      <c r="R13" s="501"/>
      <c r="S13" s="501"/>
      <c r="T13" s="501"/>
      <c r="U13" s="501"/>
      <c r="V13" s="501"/>
      <c r="W13" s="446"/>
    </row>
    <row r="14" spans="1:23" x14ac:dyDescent="0.2">
      <c r="A14" s="446">
        <v>27</v>
      </c>
      <c r="B14" s="503" t="s">
        <v>116</v>
      </c>
      <c r="C14" s="501"/>
      <c r="D14" s="420"/>
      <c r="E14" s="501"/>
      <c r="F14" s="501"/>
      <c r="G14" s="501"/>
      <c r="H14" s="515"/>
      <c r="I14" s="501"/>
      <c r="J14" s="501"/>
      <c r="K14" s="501"/>
      <c r="L14" s="501"/>
      <c r="M14" s="501"/>
      <c r="N14" s="501"/>
      <c r="O14" s="501"/>
      <c r="P14" s="501"/>
      <c r="Q14" s="501"/>
      <c r="R14" s="501"/>
      <c r="S14" s="501"/>
      <c r="T14" s="501"/>
      <c r="U14" s="501"/>
      <c r="V14" s="501"/>
      <c r="W14" s="446"/>
    </row>
    <row r="15" spans="1:23" x14ac:dyDescent="0.2">
      <c r="A15" s="480" t="s">
        <v>254</v>
      </c>
      <c r="B15" s="503" t="s">
        <v>117</v>
      </c>
      <c r="C15" s="183"/>
      <c r="D15" s="196"/>
      <c r="E15" s="183"/>
      <c r="F15" s="183"/>
      <c r="G15" s="183"/>
      <c r="H15" s="183"/>
      <c r="I15" s="183"/>
      <c r="J15" s="183"/>
      <c r="K15" s="183"/>
      <c r="L15" s="183"/>
      <c r="M15" s="183"/>
      <c r="N15" s="183"/>
      <c r="O15" s="183"/>
      <c r="P15" s="183"/>
      <c r="Q15" s="183"/>
      <c r="R15" s="183"/>
      <c r="S15" s="183"/>
      <c r="T15" s="183"/>
      <c r="U15" s="183"/>
      <c r="V15" s="183"/>
      <c r="W15" s="446"/>
    </row>
    <row r="16" spans="1:23" x14ac:dyDescent="0.2">
      <c r="A16" s="476" t="s">
        <v>255</v>
      </c>
      <c r="B16" s="446" t="s">
        <v>857</v>
      </c>
      <c r="C16" s="183"/>
      <c r="D16" s="183"/>
      <c r="E16" s="183"/>
      <c r="F16" s="183"/>
      <c r="G16" s="183"/>
      <c r="H16" s="183"/>
      <c r="I16" s="183"/>
      <c r="J16" s="183"/>
      <c r="K16" s="183"/>
      <c r="L16" s="183"/>
      <c r="M16" s="183"/>
      <c r="N16" s="183"/>
      <c r="O16" s="183"/>
      <c r="P16" s="183"/>
      <c r="Q16" s="183"/>
      <c r="R16" s="183"/>
      <c r="S16" s="183"/>
      <c r="T16" s="183"/>
      <c r="U16" s="183"/>
      <c r="V16" s="183"/>
      <c r="W16" s="446"/>
    </row>
    <row r="17" spans="1:23" x14ac:dyDescent="0.2">
      <c r="A17" s="446"/>
      <c r="B17" s="446"/>
      <c r="C17" s="500">
        <f>SUM(C15:C16)</f>
        <v>0</v>
      </c>
      <c r="D17" s="500">
        <f t="shared" ref="D17:P17" si="0">SUM(D15:D16)</f>
        <v>0</v>
      </c>
      <c r="E17" s="500">
        <f t="shared" si="0"/>
        <v>0</v>
      </c>
      <c r="F17" s="500">
        <f t="shared" si="0"/>
        <v>0</v>
      </c>
      <c r="G17" s="500">
        <f t="shared" si="0"/>
        <v>0</v>
      </c>
      <c r="H17" s="500">
        <f t="shared" si="0"/>
        <v>0</v>
      </c>
      <c r="I17" s="500">
        <f t="shared" si="0"/>
        <v>0</v>
      </c>
      <c r="J17" s="500">
        <f t="shared" si="0"/>
        <v>0</v>
      </c>
      <c r="K17" s="500">
        <f t="shared" si="0"/>
        <v>0</v>
      </c>
      <c r="L17" s="500">
        <f t="shared" si="0"/>
        <v>0</v>
      </c>
      <c r="M17" s="500">
        <f t="shared" si="0"/>
        <v>0</v>
      </c>
      <c r="N17" s="500">
        <f t="shared" si="0"/>
        <v>0</v>
      </c>
      <c r="O17" s="500">
        <f t="shared" si="0"/>
        <v>0</v>
      </c>
      <c r="P17" s="500">
        <f t="shared" si="0"/>
        <v>0</v>
      </c>
      <c r="Q17" s="500">
        <f t="shared" ref="Q17:V17" si="1">SUM(Q15:Q16)</f>
        <v>0</v>
      </c>
      <c r="R17" s="500">
        <f t="shared" si="1"/>
        <v>0</v>
      </c>
      <c r="S17" s="500">
        <f t="shared" si="1"/>
        <v>0</v>
      </c>
      <c r="T17" s="500">
        <f t="shared" si="1"/>
        <v>0</v>
      </c>
      <c r="U17" s="500">
        <f t="shared" si="1"/>
        <v>0</v>
      </c>
      <c r="V17" s="500">
        <f t="shared" si="1"/>
        <v>0</v>
      </c>
      <c r="W17" s="446"/>
    </row>
    <row r="18" spans="1:23" x14ac:dyDescent="0.2">
      <c r="A18" s="446"/>
      <c r="B18" s="446"/>
      <c r="C18" s="501"/>
      <c r="D18" s="420"/>
      <c r="E18" s="500"/>
      <c r="F18" s="500"/>
      <c r="G18" s="500"/>
      <c r="H18" s="536"/>
      <c r="I18" s="501"/>
      <c r="J18" s="501"/>
      <c r="K18" s="501"/>
      <c r="L18" s="501"/>
      <c r="M18" s="501"/>
      <c r="N18" s="501"/>
      <c r="O18" s="501"/>
      <c r="P18" s="501"/>
      <c r="Q18" s="501"/>
      <c r="R18" s="501"/>
      <c r="S18" s="501"/>
      <c r="T18" s="501"/>
      <c r="U18" s="501"/>
      <c r="V18" s="501"/>
      <c r="W18" s="446"/>
    </row>
    <row r="19" spans="1:23" x14ac:dyDescent="0.2">
      <c r="A19" s="503">
        <v>28</v>
      </c>
      <c r="B19" s="503" t="s">
        <v>118</v>
      </c>
      <c r="C19" s="183">
        <v>0.01</v>
      </c>
      <c r="D19" s="183">
        <v>0.1</v>
      </c>
      <c r="E19" s="183">
        <v>0.28999999999999998</v>
      </c>
      <c r="F19" s="190">
        <v>0.6</v>
      </c>
      <c r="G19" s="183">
        <v>2.5</v>
      </c>
      <c r="H19" s="183">
        <v>4.71</v>
      </c>
      <c r="I19" s="183">
        <v>5.57</v>
      </c>
      <c r="J19" s="183">
        <v>6</v>
      </c>
      <c r="K19" s="183">
        <v>6.43</v>
      </c>
      <c r="L19" s="183">
        <v>6.86</v>
      </c>
      <c r="M19" s="183">
        <v>7.28</v>
      </c>
      <c r="N19" s="183"/>
      <c r="O19" s="183"/>
      <c r="P19" s="183"/>
      <c r="Q19" s="183"/>
      <c r="R19" s="183"/>
      <c r="S19" s="183"/>
      <c r="T19" s="183"/>
      <c r="U19" s="183"/>
      <c r="V19" s="183"/>
      <c r="W19" s="446"/>
    </row>
    <row r="20" spans="1:23" x14ac:dyDescent="0.2">
      <c r="A20" s="446"/>
      <c r="B20" s="503" t="s">
        <v>119</v>
      </c>
      <c r="C20" s="501"/>
      <c r="D20" s="420"/>
      <c r="E20" s="501"/>
      <c r="F20" s="501"/>
      <c r="G20" s="501"/>
      <c r="H20" s="515"/>
      <c r="I20" s="501"/>
      <c r="J20" s="501"/>
      <c r="K20" s="501"/>
      <c r="L20" s="501"/>
      <c r="M20" s="501"/>
      <c r="N20" s="501"/>
      <c r="O20" s="501"/>
      <c r="P20" s="501"/>
      <c r="Q20" s="501"/>
      <c r="R20" s="501"/>
      <c r="S20" s="501"/>
      <c r="T20" s="501"/>
      <c r="U20" s="501"/>
      <c r="V20" s="501"/>
      <c r="W20" s="446"/>
    </row>
    <row r="21" spans="1:23" x14ac:dyDescent="0.2">
      <c r="A21" s="446"/>
      <c r="B21" s="503" t="s">
        <v>120</v>
      </c>
      <c r="C21" s="501"/>
      <c r="D21" s="420"/>
      <c r="E21" s="501"/>
      <c r="F21" s="501"/>
      <c r="G21" s="501"/>
      <c r="H21" s="515"/>
      <c r="I21" s="501"/>
      <c r="J21" s="501"/>
      <c r="K21" s="501"/>
      <c r="L21" s="501"/>
      <c r="M21" s="501"/>
      <c r="N21" s="501"/>
      <c r="O21" s="501"/>
      <c r="P21" s="501"/>
      <c r="Q21" s="501"/>
      <c r="R21" s="501"/>
      <c r="S21" s="501"/>
      <c r="T21" s="501"/>
      <c r="U21" s="501"/>
      <c r="V21" s="501"/>
      <c r="W21" s="446"/>
    </row>
    <row r="22" spans="1:23" x14ac:dyDescent="0.2">
      <c r="A22" s="446" t="s">
        <v>255</v>
      </c>
      <c r="B22" s="503" t="s">
        <v>121</v>
      </c>
      <c r="C22" s="183"/>
      <c r="D22" s="183"/>
      <c r="E22" s="183"/>
      <c r="F22" s="190"/>
      <c r="G22" s="183"/>
      <c r="H22" s="183"/>
      <c r="I22" s="183"/>
      <c r="J22" s="183"/>
      <c r="K22" s="183"/>
      <c r="L22" s="183"/>
      <c r="M22" s="183"/>
      <c r="N22" s="183"/>
      <c r="O22" s="183"/>
      <c r="P22" s="183"/>
      <c r="Q22" s="183"/>
      <c r="R22" s="183"/>
      <c r="S22" s="183"/>
      <c r="T22" s="183"/>
      <c r="U22" s="183"/>
      <c r="V22" s="183"/>
      <c r="W22" s="446"/>
    </row>
    <row r="23" spans="1:23" x14ac:dyDescent="0.2">
      <c r="A23" s="446"/>
      <c r="B23" s="503" t="s">
        <v>122</v>
      </c>
      <c r="C23" s="501"/>
      <c r="D23" s="420"/>
      <c r="E23" s="501"/>
      <c r="F23" s="501"/>
      <c r="G23" s="501"/>
      <c r="H23" s="515"/>
      <c r="I23" s="501"/>
      <c r="J23" s="501"/>
      <c r="K23" s="501"/>
      <c r="L23" s="501"/>
      <c r="M23" s="501"/>
      <c r="N23" s="501"/>
      <c r="O23" s="501"/>
      <c r="P23" s="501"/>
      <c r="Q23" s="501"/>
      <c r="R23" s="501"/>
      <c r="S23" s="501"/>
      <c r="T23" s="501"/>
      <c r="U23" s="501"/>
      <c r="V23" s="501"/>
      <c r="W23" s="446"/>
    </row>
    <row r="24" spans="1:23" x14ac:dyDescent="0.2">
      <c r="A24" s="446"/>
      <c r="B24" s="446"/>
      <c r="C24" s="500">
        <f>C19+C22</f>
        <v>0.01</v>
      </c>
      <c r="D24" s="500">
        <f t="shared" ref="D24:P24" si="2">D19+D22</f>
        <v>0.1</v>
      </c>
      <c r="E24" s="500">
        <f t="shared" si="2"/>
        <v>0.28999999999999998</v>
      </c>
      <c r="F24" s="500">
        <f t="shared" si="2"/>
        <v>0.6</v>
      </c>
      <c r="G24" s="500">
        <f t="shared" si="2"/>
        <v>2.5</v>
      </c>
      <c r="H24" s="500">
        <f t="shared" si="2"/>
        <v>4.71</v>
      </c>
      <c r="I24" s="500">
        <f t="shared" si="2"/>
        <v>5.57</v>
      </c>
      <c r="J24" s="500">
        <f t="shared" si="2"/>
        <v>6</v>
      </c>
      <c r="K24" s="500">
        <f t="shared" si="2"/>
        <v>6.43</v>
      </c>
      <c r="L24" s="500">
        <f t="shared" si="2"/>
        <v>6.86</v>
      </c>
      <c r="M24" s="500">
        <f t="shared" si="2"/>
        <v>7.28</v>
      </c>
      <c r="N24" s="500">
        <f t="shared" si="2"/>
        <v>0</v>
      </c>
      <c r="O24" s="500">
        <f t="shared" si="2"/>
        <v>0</v>
      </c>
      <c r="P24" s="500">
        <f t="shared" si="2"/>
        <v>0</v>
      </c>
      <c r="Q24" s="500">
        <f t="shared" ref="Q24:V24" si="3">Q19+Q22</f>
        <v>0</v>
      </c>
      <c r="R24" s="500">
        <f t="shared" si="3"/>
        <v>0</v>
      </c>
      <c r="S24" s="500">
        <f t="shared" si="3"/>
        <v>0</v>
      </c>
      <c r="T24" s="500">
        <f t="shared" si="3"/>
        <v>0</v>
      </c>
      <c r="U24" s="500">
        <f t="shared" si="3"/>
        <v>0</v>
      </c>
      <c r="V24" s="500">
        <f t="shared" si="3"/>
        <v>0</v>
      </c>
      <c r="W24" s="446"/>
    </row>
    <row r="25" spans="1:23" x14ac:dyDescent="0.2">
      <c r="A25" s="446"/>
      <c r="B25" s="446"/>
      <c r="C25" s="501"/>
      <c r="D25" s="420"/>
      <c r="E25" s="501"/>
      <c r="F25" s="501"/>
      <c r="G25" s="501"/>
      <c r="H25" s="515"/>
      <c r="I25" s="501"/>
      <c r="J25" s="501"/>
      <c r="K25" s="501"/>
      <c r="L25" s="501"/>
      <c r="M25" s="501"/>
      <c r="N25" s="501"/>
      <c r="O25" s="501"/>
      <c r="P25" s="501"/>
      <c r="Q25" s="501"/>
      <c r="R25" s="501"/>
      <c r="S25" s="501"/>
      <c r="T25" s="501"/>
      <c r="U25" s="501"/>
      <c r="V25" s="501"/>
      <c r="W25" s="446"/>
    </row>
    <row r="26" spans="1:23" x14ac:dyDescent="0.2">
      <c r="A26" s="446">
        <v>29</v>
      </c>
      <c r="B26" s="503" t="s">
        <v>123</v>
      </c>
      <c r="C26" s="183"/>
      <c r="D26" s="196"/>
      <c r="E26" s="183"/>
      <c r="F26" s="183"/>
      <c r="G26" s="183"/>
      <c r="H26" s="190"/>
      <c r="I26" s="183"/>
      <c r="J26" s="183"/>
      <c r="K26" s="183"/>
      <c r="L26" s="183"/>
      <c r="M26" s="183"/>
      <c r="N26" s="183"/>
      <c r="O26" s="183"/>
      <c r="P26" s="183"/>
      <c r="Q26" s="183"/>
      <c r="R26" s="183"/>
      <c r="S26" s="183"/>
      <c r="T26" s="183"/>
      <c r="U26" s="183"/>
      <c r="V26" s="183"/>
      <c r="W26" s="446"/>
    </row>
    <row r="27" spans="1:23" x14ac:dyDescent="0.2">
      <c r="A27" s="446"/>
      <c r="B27" s="446" t="s">
        <v>859</v>
      </c>
      <c r="C27" s="501"/>
      <c r="D27" s="420"/>
      <c r="E27" s="501"/>
      <c r="F27" s="501"/>
      <c r="G27" s="501"/>
      <c r="H27" s="515"/>
      <c r="I27" s="501"/>
      <c r="J27" s="501"/>
      <c r="K27" s="501"/>
      <c r="L27" s="501"/>
      <c r="M27" s="501"/>
      <c r="N27" s="501"/>
      <c r="O27" s="501"/>
      <c r="P27" s="501"/>
      <c r="Q27" s="501"/>
      <c r="R27" s="501"/>
      <c r="S27" s="501"/>
      <c r="T27" s="501"/>
      <c r="U27" s="501"/>
      <c r="V27" s="501"/>
      <c r="W27" s="446"/>
    </row>
    <row r="28" spans="1:23" x14ac:dyDescent="0.2">
      <c r="A28" s="446">
        <v>30</v>
      </c>
      <c r="B28" s="446" t="s">
        <v>124</v>
      </c>
      <c r="C28" s="501"/>
      <c r="D28" s="420"/>
      <c r="E28" s="501"/>
      <c r="F28" s="501"/>
      <c r="G28" s="501"/>
      <c r="H28" s="515"/>
      <c r="I28" s="501"/>
      <c r="J28" s="501"/>
      <c r="K28" s="501"/>
      <c r="L28" s="501"/>
      <c r="M28" s="501"/>
      <c r="N28" s="501"/>
      <c r="O28" s="501"/>
      <c r="P28" s="501"/>
      <c r="Q28" s="501"/>
      <c r="R28" s="501"/>
      <c r="S28" s="501"/>
      <c r="T28" s="501"/>
      <c r="U28" s="501"/>
      <c r="V28" s="501"/>
      <c r="W28" s="446"/>
    </row>
    <row r="29" spans="1:23" x14ac:dyDescent="0.2">
      <c r="A29" s="480" t="s">
        <v>254</v>
      </c>
      <c r="B29" s="503" t="s">
        <v>125</v>
      </c>
      <c r="C29" s="501"/>
      <c r="D29" s="420"/>
      <c r="E29" s="501"/>
      <c r="F29" s="501"/>
      <c r="G29" s="501"/>
      <c r="H29" s="515"/>
      <c r="I29" s="501"/>
      <c r="J29" s="501"/>
      <c r="K29" s="501"/>
      <c r="L29" s="501"/>
      <c r="M29" s="501"/>
      <c r="N29" s="501"/>
      <c r="O29" s="501"/>
      <c r="P29" s="501"/>
      <c r="Q29" s="501"/>
      <c r="R29" s="501"/>
      <c r="S29" s="501"/>
      <c r="T29" s="501"/>
      <c r="U29" s="501"/>
      <c r="V29" s="501"/>
      <c r="W29" s="446"/>
    </row>
    <row r="30" spans="1:23" x14ac:dyDescent="0.2">
      <c r="A30" s="446"/>
      <c r="B30" s="503" t="s">
        <v>126</v>
      </c>
      <c r="C30" s="501"/>
      <c r="D30" s="420"/>
      <c r="E30" s="501"/>
      <c r="F30" s="501"/>
      <c r="G30" s="501"/>
      <c r="H30" s="515"/>
      <c r="I30" s="501"/>
      <c r="J30" s="501"/>
      <c r="K30" s="501"/>
      <c r="L30" s="501"/>
      <c r="M30" s="501"/>
      <c r="N30" s="501"/>
      <c r="O30" s="501"/>
      <c r="P30" s="501"/>
      <c r="Q30" s="501"/>
      <c r="R30" s="501"/>
      <c r="S30" s="501"/>
      <c r="T30" s="501"/>
      <c r="U30" s="501"/>
      <c r="V30" s="501"/>
      <c r="W30" s="446"/>
    </row>
    <row r="31" spans="1:23" x14ac:dyDescent="0.2">
      <c r="A31" s="446" t="s">
        <v>333</v>
      </c>
      <c r="B31" s="446" t="s">
        <v>127</v>
      </c>
      <c r="C31" s="183"/>
      <c r="D31" s="183"/>
      <c r="E31" s="183"/>
      <c r="F31" s="190"/>
      <c r="G31" s="183"/>
      <c r="H31" s="183"/>
      <c r="I31" s="183"/>
      <c r="J31" s="183"/>
      <c r="K31" s="183"/>
      <c r="L31" s="183"/>
      <c r="M31" s="183"/>
      <c r="N31" s="183"/>
      <c r="O31" s="183"/>
      <c r="P31" s="183"/>
      <c r="Q31" s="183"/>
      <c r="R31" s="183"/>
      <c r="S31" s="183"/>
      <c r="T31" s="183"/>
      <c r="U31" s="183"/>
      <c r="V31" s="183"/>
      <c r="W31" s="446"/>
    </row>
    <row r="32" spans="1:23" x14ac:dyDescent="0.2">
      <c r="A32" s="446" t="s">
        <v>334</v>
      </c>
      <c r="B32" s="446" t="s">
        <v>128</v>
      </c>
      <c r="C32" s="183"/>
      <c r="D32" s="183"/>
      <c r="E32" s="183"/>
      <c r="F32" s="190"/>
      <c r="G32" s="183"/>
      <c r="H32" s="183"/>
      <c r="I32" s="183"/>
      <c r="J32" s="183"/>
      <c r="K32" s="183"/>
      <c r="L32" s="183"/>
      <c r="M32" s="183"/>
      <c r="N32" s="183"/>
      <c r="O32" s="183"/>
      <c r="P32" s="183"/>
      <c r="Q32" s="183"/>
      <c r="R32" s="183"/>
      <c r="S32" s="183"/>
      <c r="T32" s="183"/>
      <c r="U32" s="183"/>
      <c r="V32" s="183"/>
      <c r="W32" s="446"/>
    </row>
    <row r="33" spans="1:23" x14ac:dyDescent="0.2">
      <c r="A33" s="446"/>
      <c r="B33" s="446"/>
      <c r="C33" s="500">
        <f>SUM(C31:C32)</f>
        <v>0</v>
      </c>
      <c r="D33" s="500">
        <f t="shared" ref="D33:P33" si="4">SUM(D31:D32)</f>
        <v>0</v>
      </c>
      <c r="E33" s="500">
        <f t="shared" si="4"/>
        <v>0</v>
      </c>
      <c r="F33" s="500">
        <f t="shared" si="4"/>
        <v>0</v>
      </c>
      <c r="G33" s="500">
        <f t="shared" si="4"/>
        <v>0</v>
      </c>
      <c r="H33" s="500">
        <f t="shared" si="4"/>
        <v>0</v>
      </c>
      <c r="I33" s="500">
        <f t="shared" si="4"/>
        <v>0</v>
      </c>
      <c r="J33" s="500">
        <f t="shared" si="4"/>
        <v>0</v>
      </c>
      <c r="K33" s="500">
        <f t="shared" si="4"/>
        <v>0</v>
      </c>
      <c r="L33" s="500">
        <f t="shared" si="4"/>
        <v>0</v>
      </c>
      <c r="M33" s="500">
        <f t="shared" si="4"/>
        <v>0</v>
      </c>
      <c r="N33" s="500">
        <f t="shared" si="4"/>
        <v>0</v>
      </c>
      <c r="O33" s="500">
        <f t="shared" si="4"/>
        <v>0</v>
      </c>
      <c r="P33" s="500">
        <f t="shared" si="4"/>
        <v>0</v>
      </c>
      <c r="Q33" s="500">
        <f t="shared" ref="Q33:V33" si="5">SUM(Q31:Q32)</f>
        <v>0</v>
      </c>
      <c r="R33" s="500">
        <f t="shared" si="5"/>
        <v>0</v>
      </c>
      <c r="S33" s="500">
        <f t="shared" si="5"/>
        <v>0</v>
      </c>
      <c r="T33" s="500">
        <f t="shared" si="5"/>
        <v>0</v>
      </c>
      <c r="U33" s="500">
        <f t="shared" si="5"/>
        <v>0</v>
      </c>
      <c r="V33" s="500">
        <f t="shared" si="5"/>
        <v>0</v>
      </c>
      <c r="W33" s="446"/>
    </row>
    <row r="34" spans="1:23" x14ac:dyDescent="0.2">
      <c r="A34" s="476" t="s">
        <v>255</v>
      </c>
      <c r="B34" s="446" t="s">
        <v>129</v>
      </c>
      <c r="C34" s="501">
        <f>'Oper.St.'!C59+INPUT!C22</f>
        <v>0</v>
      </c>
      <c r="D34" s="501">
        <f>'Oper.St.'!D59+INPUT!D22</f>
        <v>0</v>
      </c>
      <c r="E34" s="501">
        <f>'Oper.St.'!E59+INPUT!E22</f>
        <v>0</v>
      </c>
      <c r="F34" s="501">
        <f>'Oper.St.'!F59+INPUT!F22</f>
        <v>0</v>
      </c>
      <c r="G34" s="501">
        <f>'Oper.St.'!G59+INPUT!G22</f>
        <v>0</v>
      </c>
      <c r="H34" s="501">
        <f>'Oper.St.'!H59+INPUT!H22</f>
        <v>0</v>
      </c>
      <c r="I34" s="501">
        <f>'Oper.St.'!I59+INPUT!I22</f>
        <v>0</v>
      </c>
      <c r="J34" s="501">
        <f>'Oper.St.'!J59+INPUT!J22</f>
        <v>0</v>
      </c>
      <c r="K34" s="501">
        <f>'Oper.St.'!K59+INPUT!K22</f>
        <v>0</v>
      </c>
      <c r="L34" s="501">
        <f>'Oper.St.'!L59+INPUT!L22</f>
        <v>0</v>
      </c>
      <c r="M34" s="501">
        <f>'Oper.St.'!M59+INPUT!M22</f>
        <v>0</v>
      </c>
      <c r="N34" s="501">
        <f>'Oper.St.'!N59+INPUT!N22</f>
        <v>0</v>
      </c>
      <c r="O34" s="501">
        <f>'Oper.St.'!O59+INPUT!O22</f>
        <v>0</v>
      </c>
      <c r="P34" s="501">
        <f>'Oper.St.'!P59+INPUT!P22</f>
        <v>0</v>
      </c>
      <c r="Q34" s="501">
        <f>'Oper.St.'!Q59+INPUT!Q22</f>
        <v>0</v>
      </c>
      <c r="R34" s="501">
        <f>'Oper.St.'!R59+INPUT!R22</f>
        <v>0</v>
      </c>
      <c r="S34" s="501">
        <f>'Oper.St.'!S59+INPUT!S22</f>
        <v>0</v>
      </c>
      <c r="T34" s="501">
        <f>'Oper.St.'!T59+INPUT!T22</f>
        <v>0</v>
      </c>
      <c r="U34" s="501">
        <f>'Oper.St.'!U59+INPUT!U22</f>
        <v>0</v>
      </c>
      <c r="V34" s="501">
        <f>'Oper.St.'!V59+INPUT!V22</f>
        <v>0</v>
      </c>
      <c r="W34" s="446"/>
    </row>
    <row r="35" spans="1:23" x14ac:dyDescent="0.2">
      <c r="A35" s="476" t="s">
        <v>256</v>
      </c>
      <c r="B35" s="446" t="s">
        <v>130</v>
      </c>
      <c r="C35" s="501">
        <f>'Oper.St.'!C63+INPUT!C23</f>
        <v>0</v>
      </c>
      <c r="D35" s="501">
        <f>'Oper.St.'!D63+INPUT!D23</f>
        <v>0</v>
      </c>
      <c r="E35" s="501">
        <f>'Oper.St.'!E63+INPUT!E23</f>
        <v>0</v>
      </c>
      <c r="F35" s="501">
        <f>'Oper.St.'!F63+INPUT!F23</f>
        <v>0</v>
      </c>
      <c r="G35" s="501">
        <f>'Oper.St.'!G63+INPUT!G23</f>
        <v>2</v>
      </c>
      <c r="H35" s="501">
        <f>'Oper.St.'!H63+INPUT!H23</f>
        <v>2.6</v>
      </c>
      <c r="I35" s="501">
        <f>'Oper.St.'!I63+INPUT!I23</f>
        <v>4</v>
      </c>
      <c r="J35" s="501">
        <f>'Oper.St.'!J63+INPUT!J23</f>
        <v>4.5</v>
      </c>
      <c r="K35" s="501">
        <f>'Oper.St.'!K63+INPUT!K23</f>
        <v>5</v>
      </c>
      <c r="L35" s="501">
        <f>'Oper.St.'!L63+INPUT!L23</f>
        <v>5.25</v>
      </c>
      <c r="M35" s="501">
        <f>'Oper.St.'!M63+INPUT!M23</f>
        <v>5.3</v>
      </c>
      <c r="N35" s="501">
        <f>'Oper.St.'!N63+INPUT!N23</f>
        <v>0</v>
      </c>
      <c r="O35" s="501">
        <f>'Oper.St.'!O63+INPUT!O23</f>
        <v>0</v>
      </c>
      <c r="P35" s="501">
        <f>'Oper.St.'!P63+INPUT!P23</f>
        <v>0</v>
      </c>
      <c r="Q35" s="501">
        <f>'Oper.St.'!Q63+INPUT!Q23</f>
        <v>0</v>
      </c>
      <c r="R35" s="501">
        <f>'Oper.St.'!R63+INPUT!R23</f>
        <v>0</v>
      </c>
      <c r="S35" s="501">
        <f>'Oper.St.'!S63+INPUT!S23</f>
        <v>0</v>
      </c>
      <c r="T35" s="501">
        <f>'Oper.St.'!T63+INPUT!T23</f>
        <v>0</v>
      </c>
      <c r="U35" s="501">
        <f>'Oper.St.'!U63+INPUT!U23</f>
        <v>0</v>
      </c>
      <c r="V35" s="501">
        <f>'Oper.St.'!V63+INPUT!V23</f>
        <v>0</v>
      </c>
      <c r="W35" s="446"/>
    </row>
    <row r="36" spans="1:23" x14ac:dyDescent="0.2">
      <c r="A36" s="476" t="s">
        <v>257</v>
      </c>
      <c r="B36" s="446" t="s">
        <v>131</v>
      </c>
      <c r="C36" s="501"/>
      <c r="D36" s="420"/>
      <c r="E36" s="501"/>
      <c r="F36" s="501"/>
      <c r="G36" s="501"/>
      <c r="H36" s="515"/>
      <c r="I36" s="501"/>
      <c r="J36" s="501"/>
      <c r="K36" s="501"/>
      <c r="L36" s="501"/>
      <c r="M36" s="501"/>
      <c r="N36" s="501"/>
      <c r="O36" s="501"/>
      <c r="P36" s="501"/>
      <c r="Q36" s="501"/>
      <c r="R36" s="501"/>
      <c r="S36" s="501"/>
      <c r="T36" s="501"/>
      <c r="U36" s="501"/>
      <c r="V36" s="501"/>
      <c r="W36" s="446"/>
    </row>
    <row r="37" spans="1:23" x14ac:dyDescent="0.2">
      <c r="A37" s="446" t="s">
        <v>333</v>
      </c>
      <c r="B37" s="446" t="s">
        <v>127</v>
      </c>
      <c r="C37" s="183"/>
      <c r="D37" s="196"/>
      <c r="E37" s="183"/>
      <c r="F37" s="183"/>
      <c r="G37" s="183"/>
      <c r="H37" s="190"/>
      <c r="I37" s="183"/>
      <c r="J37" s="183"/>
      <c r="K37" s="183"/>
      <c r="L37" s="183"/>
      <c r="M37" s="183"/>
      <c r="N37" s="183"/>
      <c r="O37" s="183"/>
      <c r="P37" s="183"/>
      <c r="Q37" s="183"/>
      <c r="R37" s="183"/>
      <c r="S37" s="183"/>
      <c r="T37" s="183"/>
      <c r="U37" s="183"/>
      <c r="V37" s="183"/>
      <c r="W37" s="446"/>
    </row>
    <row r="38" spans="1:23" x14ac:dyDescent="0.2">
      <c r="A38" s="446" t="s">
        <v>334</v>
      </c>
      <c r="B38" s="446" t="s">
        <v>128</v>
      </c>
      <c r="C38" s="183"/>
      <c r="D38" s="183"/>
      <c r="E38" s="183"/>
      <c r="F38" s="190"/>
      <c r="G38" s="183"/>
      <c r="H38" s="183"/>
      <c r="I38" s="183"/>
      <c r="J38" s="183"/>
      <c r="K38" s="183"/>
      <c r="L38" s="183"/>
      <c r="M38" s="183"/>
      <c r="N38" s="183"/>
      <c r="O38" s="183"/>
      <c r="P38" s="183"/>
      <c r="Q38" s="183"/>
      <c r="R38" s="183"/>
      <c r="S38" s="183"/>
      <c r="T38" s="183"/>
      <c r="U38" s="183"/>
      <c r="V38" s="183"/>
      <c r="W38" s="446"/>
    </row>
    <row r="39" spans="1:23" x14ac:dyDescent="0.2">
      <c r="A39" s="446"/>
      <c r="B39" s="446"/>
      <c r="C39" s="500">
        <f>SUM(C37:C38)</f>
        <v>0</v>
      </c>
      <c r="D39" s="500">
        <f t="shared" ref="D39:P39" si="6">SUM(D37:D38)</f>
        <v>0</v>
      </c>
      <c r="E39" s="500">
        <f t="shared" si="6"/>
        <v>0</v>
      </c>
      <c r="F39" s="500">
        <f t="shared" si="6"/>
        <v>0</v>
      </c>
      <c r="G39" s="500">
        <f t="shared" si="6"/>
        <v>0</v>
      </c>
      <c r="H39" s="500">
        <f t="shared" si="6"/>
        <v>0</v>
      </c>
      <c r="I39" s="500">
        <f t="shared" si="6"/>
        <v>0</v>
      </c>
      <c r="J39" s="500">
        <f t="shared" si="6"/>
        <v>0</v>
      </c>
      <c r="K39" s="500">
        <f t="shared" si="6"/>
        <v>0</v>
      </c>
      <c r="L39" s="500">
        <f t="shared" si="6"/>
        <v>0</v>
      </c>
      <c r="M39" s="500">
        <f t="shared" si="6"/>
        <v>0</v>
      </c>
      <c r="N39" s="500">
        <f t="shared" si="6"/>
        <v>0</v>
      </c>
      <c r="O39" s="500">
        <f t="shared" si="6"/>
        <v>0</v>
      </c>
      <c r="P39" s="500">
        <f t="shared" si="6"/>
        <v>0</v>
      </c>
      <c r="Q39" s="500">
        <f t="shared" ref="Q39:V39" si="7">SUM(Q37:Q38)</f>
        <v>0</v>
      </c>
      <c r="R39" s="500">
        <f t="shared" si="7"/>
        <v>0</v>
      </c>
      <c r="S39" s="500">
        <f t="shared" si="7"/>
        <v>0</v>
      </c>
      <c r="T39" s="500">
        <f t="shared" si="7"/>
        <v>0</v>
      </c>
      <c r="U39" s="500">
        <f t="shared" si="7"/>
        <v>0</v>
      </c>
      <c r="V39" s="500">
        <f t="shared" si="7"/>
        <v>0</v>
      </c>
      <c r="W39" s="446"/>
    </row>
    <row r="40" spans="1:23" x14ac:dyDescent="0.2">
      <c r="A40" s="446"/>
      <c r="B40" s="446"/>
      <c r="C40" s="500">
        <f>SUM(C33:C35)+C39</f>
        <v>0</v>
      </c>
      <c r="D40" s="500">
        <f>SUM(D33:D35)+D39</f>
        <v>0</v>
      </c>
      <c r="E40" s="500">
        <f>SUM(E33:E35)+E39</f>
        <v>0</v>
      </c>
      <c r="F40" s="500">
        <f>SUM(F33:F35)+F39</f>
        <v>0</v>
      </c>
      <c r="G40" s="500">
        <f t="shared" ref="G40:P40" si="8">SUM(G33:G35)+G39</f>
        <v>2</v>
      </c>
      <c r="H40" s="500">
        <f t="shared" si="8"/>
        <v>2.6</v>
      </c>
      <c r="I40" s="500">
        <f t="shared" si="8"/>
        <v>4</v>
      </c>
      <c r="J40" s="500">
        <f t="shared" si="8"/>
        <v>4.5</v>
      </c>
      <c r="K40" s="500">
        <f t="shared" si="8"/>
        <v>5</v>
      </c>
      <c r="L40" s="500">
        <f t="shared" si="8"/>
        <v>5.25</v>
      </c>
      <c r="M40" s="500">
        <f t="shared" si="8"/>
        <v>5.3</v>
      </c>
      <c r="N40" s="500">
        <f t="shared" si="8"/>
        <v>0</v>
      </c>
      <c r="O40" s="500">
        <f t="shared" si="8"/>
        <v>0</v>
      </c>
      <c r="P40" s="500">
        <f t="shared" si="8"/>
        <v>0</v>
      </c>
      <c r="Q40" s="500">
        <f t="shared" ref="Q40:V40" si="9">SUM(Q33:Q35)+Q39</f>
        <v>0</v>
      </c>
      <c r="R40" s="500">
        <f t="shared" si="9"/>
        <v>0</v>
      </c>
      <c r="S40" s="500">
        <f t="shared" si="9"/>
        <v>0</v>
      </c>
      <c r="T40" s="500">
        <f t="shared" si="9"/>
        <v>0</v>
      </c>
      <c r="U40" s="500">
        <f t="shared" si="9"/>
        <v>0</v>
      </c>
      <c r="V40" s="500">
        <f t="shared" si="9"/>
        <v>0</v>
      </c>
      <c r="W40" s="446"/>
    </row>
    <row r="41" spans="1:23" x14ac:dyDescent="0.2">
      <c r="A41" s="446"/>
      <c r="B41" s="446"/>
      <c r="C41" s="501"/>
      <c r="D41" s="420"/>
      <c r="E41" s="501"/>
      <c r="F41" s="501"/>
      <c r="G41" s="501"/>
      <c r="H41" s="515"/>
      <c r="I41" s="501"/>
      <c r="J41" s="501"/>
      <c r="K41" s="501"/>
      <c r="L41" s="501"/>
      <c r="M41" s="501"/>
      <c r="N41" s="501"/>
      <c r="O41" s="501"/>
      <c r="P41" s="501"/>
      <c r="Q41" s="501"/>
      <c r="R41" s="501"/>
      <c r="S41" s="501"/>
      <c r="T41" s="501"/>
      <c r="U41" s="501"/>
      <c r="V41" s="501"/>
      <c r="W41" s="446"/>
    </row>
    <row r="42" spans="1:23" x14ac:dyDescent="0.2">
      <c r="A42" s="446">
        <v>31</v>
      </c>
      <c r="B42" s="503" t="s">
        <v>132</v>
      </c>
      <c r="C42" s="183"/>
      <c r="D42" s="183"/>
      <c r="E42" s="183"/>
      <c r="F42" s="190"/>
      <c r="G42" s="183"/>
      <c r="H42" s="183"/>
      <c r="I42" s="183"/>
      <c r="J42" s="183"/>
      <c r="K42" s="183"/>
      <c r="L42" s="183"/>
      <c r="M42" s="183"/>
      <c r="N42" s="183"/>
      <c r="O42" s="183"/>
      <c r="P42" s="183"/>
      <c r="Q42" s="183"/>
      <c r="R42" s="183"/>
      <c r="S42" s="183"/>
      <c r="T42" s="183"/>
      <c r="U42" s="183"/>
      <c r="V42" s="183"/>
      <c r="W42" s="446"/>
    </row>
    <row r="43" spans="1:23" x14ac:dyDescent="0.2">
      <c r="A43" s="446"/>
      <c r="B43" s="446" t="s">
        <v>73</v>
      </c>
      <c r="C43" s="501"/>
      <c r="D43" s="420"/>
      <c r="E43" s="501"/>
      <c r="F43" s="501"/>
      <c r="G43" s="501"/>
      <c r="H43" s="515"/>
      <c r="I43" s="501"/>
      <c r="J43" s="501"/>
      <c r="K43" s="501"/>
      <c r="L43" s="501"/>
      <c r="M43" s="501"/>
      <c r="N43" s="501"/>
      <c r="O43" s="501"/>
      <c r="P43" s="501"/>
      <c r="Q43" s="501"/>
      <c r="R43" s="501"/>
      <c r="S43" s="501"/>
      <c r="T43" s="501"/>
      <c r="U43" s="501"/>
      <c r="V43" s="501"/>
      <c r="W43" s="446"/>
    </row>
    <row r="44" spans="1:23" x14ac:dyDescent="0.2">
      <c r="A44" s="446"/>
      <c r="B44" s="446"/>
      <c r="C44" s="501"/>
      <c r="D44" s="420"/>
      <c r="E44" s="501"/>
      <c r="F44" s="501"/>
      <c r="G44" s="501"/>
      <c r="H44" s="515"/>
      <c r="I44" s="501"/>
      <c r="J44" s="501"/>
      <c r="K44" s="501"/>
      <c r="L44" s="501"/>
      <c r="M44" s="501"/>
      <c r="N44" s="501"/>
      <c r="O44" s="501"/>
      <c r="P44" s="501"/>
      <c r="Q44" s="501"/>
      <c r="R44" s="501"/>
      <c r="S44" s="501"/>
      <c r="T44" s="501"/>
      <c r="U44" s="501"/>
      <c r="V44" s="501"/>
      <c r="W44" s="446"/>
    </row>
    <row r="45" spans="1:23" x14ac:dyDescent="0.2">
      <c r="A45" s="446">
        <v>32</v>
      </c>
      <c r="B45" s="446" t="s">
        <v>74</v>
      </c>
      <c r="C45" s="183">
        <v>0.03</v>
      </c>
      <c r="D45" s="183"/>
      <c r="E45" s="183">
        <v>0.01</v>
      </c>
      <c r="F45" s="183">
        <v>0.02</v>
      </c>
      <c r="G45" s="183">
        <f>'Oper.St.'!G93*75%</f>
        <v>0.18000000000000008</v>
      </c>
      <c r="H45" s="183">
        <f>'Oper.St.'!H93*75%</f>
        <v>0.38491312500000052</v>
      </c>
      <c r="I45" s="183">
        <f>'Oper.St.'!I93*75%</f>
        <v>0.5230957500000003</v>
      </c>
      <c r="J45" s="183">
        <f>'Oper.St.'!J93*75%</f>
        <v>0.58555518749999991</v>
      </c>
      <c r="K45" s="183">
        <f>'Oper.St.'!K93*75%</f>
        <v>0.64320412499999868</v>
      </c>
      <c r="L45" s="183">
        <f>'Oper.St.'!L93*75%</f>
        <v>0.71305875000000019</v>
      </c>
      <c r="M45" s="183">
        <f>'Oper.St.'!M93*75%</f>
        <v>0.81940781249999961</v>
      </c>
      <c r="N45" s="183"/>
      <c r="O45" s="183"/>
      <c r="P45" s="183"/>
      <c r="Q45" s="183"/>
      <c r="R45" s="183"/>
      <c r="S45" s="183"/>
      <c r="T45" s="183"/>
      <c r="U45" s="183"/>
      <c r="V45" s="183"/>
      <c r="W45" s="446"/>
    </row>
    <row r="46" spans="1:23" x14ac:dyDescent="0.2">
      <c r="A46" s="446"/>
      <c r="B46" s="446"/>
      <c r="C46" s="501"/>
      <c r="D46" s="420"/>
      <c r="E46" s="501"/>
      <c r="F46" s="501"/>
      <c r="G46" s="501"/>
      <c r="H46" s="515"/>
      <c r="I46" s="501"/>
      <c r="J46" s="501"/>
      <c r="K46" s="501"/>
      <c r="L46" s="501"/>
      <c r="M46" s="501"/>
      <c r="N46" s="501"/>
      <c r="O46" s="501"/>
      <c r="P46" s="501"/>
      <c r="Q46" s="501"/>
      <c r="R46" s="501"/>
      <c r="S46" s="501"/>
      <c r="T46" s="501"/>
      <c r="U46" s="501"/>
      <c r="V46" s="501"/>
      <c r="W46" s="446"/>
    </row>
    <row r="47" spans="1:23" x14ac:dyDescent="0.2">
      <c r="A47" s="446">
        <v>33</v>
      </c>
      <c r="B47" s="446" t="s">
        <v>75</v>
      </c>
      <c r="C47" s="183">
        <v>0.05</v>
      </c>
      <c r="D47" s="183">
        <v>0.08</v>
      </c>
      <c r="E47" s="183">
        <v>0.09</v>
      </c>
      <c r="F47" s="190">
        <v>0.15</v>
      </c>
      <c r="G47" s="183">
        <v>0.88</v>
      </c>
      <c r="H47" s="183">
        <v>0.93</v>
      </c>
      <c r="I47" s="183">
        <v>1.05</v>
      </c>
      <c r="J47" s="183">
        <v>1.54</v>
      </c>
      <c r="K47" s="183">
        <v>1.89</v>
      </c>
      <c r="L47" s="183">
        <v>2.1800000000000002</v>
      </c>
      <c r="M47" s="183">
        <v>2.2999999999999998</v>
      </c>
      <c r="N47" s="183"/>
      <c r="O47" s="183"/>
      <c r="P47" s="183"/>
      <c r="Q47" s="183"/>
      <c r="R47" s="183"/>
      <c r="S47" s="183"/>
      <c r="T47" s="183"/>
      <c r="U47" s="183"/>
      <c r="V47" s="183"/>
      <c r="W47" s="446"/>
    </row>
    <row r="48" spans="1:23" x14ac:dyDescent="0.2">
      <c r="A48" s="480" t="s">
        <v>254</v>
      </c>
      <c r="B48" s="187"/>
      <c r="C48" s="183"/>
      <c r="D48" s="190"/>
      <c r="E48" s="183"/>
      <c r="F48" s="183"/>
      <c r="G48" s="183"/>
      <c r="H48" s="183"/>
      <c r="I48" s="183"/>
      <c r="J48" s="183"/>
      <c r="K48" s="183"/>
      <c r="L48" s="183"/>
      <c r="M48" s="183"/>
      <c r="N48" s="183"/>
      <c r="O48" s="183"/>
      <c r="P48" s="183"/>
      <c r="Q48" s="183"/>
      <c r="R48" s="183"/>
      <c r="S48" s="183"/>
      <c r="T48" s="183"/>
      <c r="U48" s="183"/>
      <c r="V48" s="183"/>
      <c r="W48" s="446"/>
    </row>
    <row r="49" spans="1:23" x14ac:dyDescent="0.2">
      <c r="A49" s="476" t="s">
        <v>255</v>
      </c>
      <c r="B49" s="187"/>
      <c r="C49" s="186"/>
      <c r="D49" s="196"/>
      <c r="E49" s="186"/>
      <c r="F49" s="186"/>
      <c r="G49" s="186"/>
      <c r="H49" s="537"/>
      <c r="I49" s="186"/>
      <c r="J49" s="186"/>
      <c r="K49" s="186"/>
      <c r="L49" s="186"/>
      <c r="M49" s="186"/>
      <c r="N49" s="186"/>
      <c r="O49" s="186"/>
      <c r="P49" s="186"/>
      <c r="Q49" s="186"/>
      <c r="R49" s="186"/>
      <c r="S49" s="186"/>
      <c r="T49" s="186"/>
      <c r="U49" s="186"/>
      <c r="V49" s="186"/>
      <c r="W49" s="446"/>
    </row>
    <row r="50" spans="1:23" x14ac:dyDescent="0.2">
      <c r="A50" s="446">
        <v>34</v>
      </c>
      <c r="B50" s="446" t="s">
        <v>76</v>
      </c>
      <c r="C50" s="504"/>
      <c r="D50" s="504"/>
      <c r="E50" s="504"/>
      <c r="F50" s="504"/>
      <c r="G50" s="504"/>
      <c r="H50" s="505"/>
      <c r="I50" s="504"/>
      <c r="J50" s="504"/>
      <c r="K50" s="504"/>
      <c r="L50" s="504"/>
      <c r="M50" s="504"/>
      <c r="N50" s="504"/>
      <c r="O50" s="504"/>
      <c r="P50" s="504"/>
      <c r="Q50" s="504"/>
      <c r="R50" s="504"/>
      <c r="S50" s="504"/>
      <c r="T50" s="504"/>
      <c r="U50" s="504"/>
      <c r="V50" s="504"/>
      <c r="W50" s="446"/>
    </row>
    <row r="51" spans="1:23" x14ac:dyDescent="0.2">
      <c r="A51" s="446"/>
      <c r="B51" s="446" t="s">
        <v>77</v>
      </c>
      <c r="C51" s="484">
        <f>C12+C17+C24+C26+C40+C42+C45+SUM(C47:C49)</f>
        <v>0.21000000000000002</v>
      </c>
      <c r="D51" s="484">
        <f t="shared" ref="D51:P51" si="10">D12+D17+D24+D26+D40+D42+D45+SUM(D47:D49)</f>
        <v>0.37000000000000005</v>
      </c>
      <c r="E51" s="484">
        <f t="shared" si="10"/>
        <v>0.69</v>
      </c>
      <c r="F51" s="484">
        <f t="shared" si="10"/>
        <v>1.0699999999999998</v>
      </c>
      <c r="G51" s="484">
        <f t="shared" si="10"/>
        <v>6.3599999999999994</v>
      </c>
      <c r="H51" s="484">
        <f t="shared" si="10"/>
        <v>9.5449131250000008</v>
      </c>
      <c r="I51" s="484">
        <f t="shared" si="10"/>
        <v>12.09309575</v>
      </c>
      <c r="J51" s="484">
        <f t="shared" si="10"/>
        <v>13.575555187500001</v>
      </c>
      <c r="K51" s="484">
        <f t="shared" si="10"/>
        <v>14.913204124999998</v>
      </c>
      <c r="L51" s="484">
        <f t="shared" si="10"/>
        <v>16.003058750000001</v>
      </c>
      <c r="M51" s="484">
        <f t="shared" si="10"/>
        <v>16.699407812500002</v>
      </c>
      <c r="N51" s="484">
        <f t="shared" si="10"/>
        <v>0</v>
      </c>
      <c r="O51" s="484">
        <f t="shared" si="10"/>
        <v>0</v>
      </c>
      <c r="P51" s="484">
        <f t="shared" si="10"/>
        <v>0</v>
      </c>
      <c r="Q51" s="484">
        <f t="shared" ref="Q51:V51" si="11">Q12+Q17+Q24+Q26+Q40+Q42+Q45+SUM(Q47:Q49)</f>
        <v>0</v>
      </c>
      <c r="R51" s="484">
        <f t="shared" si="11"/>
        <v>0</v>
      </c>
      <c r="S51" s="484">
        <f t="shared" si="11"/>
        <v>0</v>
      </c>
      <c r="T51" s="484">
        <f t="shared" si="11"/>
        <v>0</v>
      </c>
      <c r="U51" s="484">
        <f t="shared" si="11"/>
        <v>0</v>
      </c>
      <c r="V51" s="484">
        <f t="shared" si="11"/>
        <v>0</v>
      </c>
      <c r="W51" s="446"/>
    </row>
    <row r="52" spans="1:23" x14ac:dyDescent="0.2">
      <c r="A52" s="446"/>
      <c r="B52" s="446"/>
      <c r="C52" s="446"/>
      <c r="D52" s="446"/>
      <c r="E52" s="446"/>
      <c r="F52" s="446"/>
      <c r="G52" s="446"/>
      <c r="H52" s="446"/>
      <c r="I52" s="446"/>
      <c r="J52" s="446"/>
      <c r="K52" s="446"/>
      <c r="L52" s="446"/>
      <c r="M52" s="446"/>
      <c r="N52" s="446"/>
      <c r="O52" s="446"/>
      <c r="P52" s="446"/>
      <c r="Q52" s="446"/>
      <c r="R52" s="446"/>
      <c r="S52" s="446"/>
      <c r="T52" s="446"/>
      <c r="U52" s="446"/>
      <c r="V52" s="446"/>
      <c r="W52" s="446"/>
    </row>
    <row r="53" spans="1:23" x14ac:dyDescent="0.2">
      <c r="A53" s="446"/>
      <c r="B53" s="410" t="s">
        <v>786</v>
      </c>
      <c r="C53" s="446"/>
      <c r="D53" s="446"/>
      <c r="E53" s="446"/>
      <c r="F53" s="446"/>
      <c r="G53" s="446"/>
      <c r="H53" s="446"/>
      <c r="I53" s="473" t="s">
        <v>78</v>
      </c>
      <c r="J53" s="473"/>
      <c r="K53" s="473"/>
      <c r="L53" s="473"/>
      <c r="M53" s="473"/>
      <c r="N53" s="473"/>
      <c r="O53" s="473"/>
      <c r="P53" s="473"/>
      <c r="Q53" s="473"/>
      <c r="R53" s="473"/>
      <c r="S53" s="473"/>
      <c r="T53" s="473"/>
      <c r="U53" s="473"/>
      <c r="V53" s="473"/>
      <c r="W53" s="446"/>
    </row>
    <row r="54" spans="1:23" x14ac:dyDescent="0.2">
      <c r="A54" s="446"/>
      <c r="B54" s="446"/>
      <c r="C54" s="446"/>
      <c r="D54" s="446"/>
      <c r="E54" s="446"/>
      <c r="F54" s="446"/>
      <c r="G54" s="446"/>
      <c r="H54" s="446"/>
      <c r="I54" s="446"/>
      <c r="J54" s="446"/>
      <c r="K54" s="446"/>
      <c r="L54" s="446"/>
      <c r="M54" s="446"/>
      <c r="N54" s="446"/>
      <c r="O54" s="446"/>
      <c r="P54" s="446"/>
      <c r="Q54" s="446"/>
      <c r="R54" s="446"/>
      <c r="S54" s="446"/>
      <c r="T54" s="446"/>
      <c r="U54" s="446"/>
      <c r="V54" s="446"/>
      <c r="W54" s="446"/>
    </row>
    <row r="55" spans="1:23" x14ac:dyDescent="0.2">
      <c r="A55" s="475"/>
      <c r="B55" s="475">
        <f>B6</f>
        <v>0</v>
      </c>
      <c r="C55" s="446"/>
      <c r="D55" s="446"/>
      <c r="E55" s="446"/>
      <c r="F55" s="446"/>
      <c r="G55" s="473" t="s">
        <v>81</v>
      </c>
      <c r="H55" s="473" t="str">
        <f>H6</f>
        <v>Crores</v>
      </c>
      <c r="I55" s="446"/>
      <c r="J55" s="446"/>
      <c r="K55" s="446"/>
      <c r="L55" s="446"/>
      <c r="M55" s="446"/>
      <c r="N55" s="446"/>
      <c r="O55" s="446"/>
      <c r="P55" s="446"/>
      <c r="Q55" s="446"/>
      <c r="R55" s="446"/>
      <c r="S55" s="446"/>
      <c r="T55" s="446"/>
      <c r="U55" s="446"/>
      <c r="V55" s="446"/>
      <c r="W55" s="446"/>
    </row>
    <row r="56" spans="1:23" x14ac:dyDescent="0.2">
      <c r="A56" s="446"/>
      <c r="B56" s="446"/>
      <c r="C56" s="446"/>
      <c r="D56" s="446"/>
      <c r="E56" s="453"/>
      <c r="F56" s="446"/>
      <c r="G56" s="446"/>
      <c r="H56" s="446"/>
      <c r="I56" s="446"/>
      <c r="J56" s="446"/>
      <c r="K56" s="446"/>
      <c r="L56" s="446"/>
      <c r="M56" s="446"/>
      <c r="N56" s="446"/>
      <c r="O56" s="446"/>
      <c r="P56" s="446"/>
      <c r="Q56" s="446"/>
      <c r="R56" s="446"/>
      <c r="S56" s="446"/>
      <c r="T56" s="446"/>
      <c r="U56" s="446"/>
      <c r="V56" s="446"/>
      <c r="W56" s="446"/>
    </row>
    <row r="57" spans="1:23" x14ac:dyDescent="0.2">
      <c r="A57" s="446"/>
      <c r="B57" s="534" t="s">
        <v>82</v>
      </c>
      <c r="C57" s="477" t="s">
        <v>84</v>
      </c>
      <c r="D57" s="477" t="s">
        <v>84</v>
      </c>
      <c r="E57" s="477" t="s">
        <v>84</v>
      </c>
      <c r="F57" s="477" t="s">
        <v>84</v>
      </c>
      <c r="G57" s="477" t="s">
        <v>84</v>
      </c>
      <c r="H57" s="477" t="s">
        <v>84</v>
      </c>
      <c r="I57" s="477" t="s">
        <v>84</v>
      </c>
      <c r="J57" s="477" t="s">
        <v>84</v>
      </c>
      <c r="K57" s="477" t="s">
        <v>84</v>
      </c>
      <c r="L57" s="477" t="s">
        <v>84</v>
      </c>
      <c r="M57" s="477" t="s">
        <v>84</v>
      </c>
      <c r="N57" s="477" t="s">
        <v>84</v>
      </c>
      <c r="O57" s="477" t="s">
        <v>84</v>
      </c>
      <c r="P57" s="477" t="s">
        <v>84</v>
      </c>
      <c r="Q57" s="477" t="s">
        <v>251</v>
      </c>
      <c r="R57" s="477" t="s">
        <v>252</v>
      </c>
      <c r="S57" s="477" t="s">
        <v>1070</v>
      </c>
      <c r="T57" s="477" t="s">
        <v>1071</v>
      </c>
      <c r="U57" s="477" t="s">
        <v>202</v>
      </c>
      <c r="V57" s="477" t="s">
        <v>203</v>
      </c>
      <c r="W57" s="446"/>
    </row>
    <row r="58" spans="1:23" x14ac:dyDescent="0.2">
      <c r="A58" s="446"/>
      <c r="B58" s="446"/>
      <c r="C58" s="510">
        <f>C10</f>
        <v>2020</v>
      </c>
      <c r="D58" s="510">
        <f t="shared" ref="D58:P58" si="12">D10</f>
        <v>2021</v>
      </c>
      <c r="E58" s="510">
        <f t="shared" si="12"/>
        <v>2022</v>
      </c>
      <c r="F58" s="510">
        <f t="shared" si="12"/>
        <v>2023</v>
      </c>
      <c r="G58" s="510">
        <f t="shared" si="12"/>
        <v>2024</v>
      </c>
      <c r="H58" s="510">
        <f t="shared" si="12"/>
        <v>2025</v>
      </c>
      <c r="I58" s="510">
        <f t="shared" si="12"/>
        <v>2026</v>
      </c>
      <c r="J58" s="510">
        <f t="shared" si="12"/>
        <v>2027</v>
      </c>
      <c r="K58" s="510">
        <f t="shared" si="12"/>
        <v>2028</v>
      </c>
      <c r="L58" s="510">
        <f t="shared" si="12"/>
        <v>2029</v>
      </c>
      <c r="M58" s="510">
        <f t="shared" si="12"/>
        <v>2030</v>
      </c>
      <c r="N58" s="510">
        <f t="shared" si="12"/>
        <v>2031</v>
      </c>
      <c r="O58" s="510">
        <f t="shared" si="12"/>
        <v>2032</v>
      </c>
      <c r="P58" s="510">
        <f t="shared" si="12"/>
        <v>2033</v>
      </c>
      <c r="Q58" s="510">
        <f t="shared" ref="Q58:V58" si="13">Q10</f>
        <v>2034</v>
      </c>
      <c r="R58" s="510">
        <f t="shared" si="13"/>
        <v>2035</v>
      </c>
      <c r="S58" s="510">
        <f t="shared" si="13"/>
        <v>2036</v>
      </c>
      <c r="T58" s="510">
        <f t="shared" si="13"/>
        <v>2037</v>
      </c>
      <c r="U58" s="510">
        <f t="shared" si="13"/>
        <v>2038</v>
      </c>
      <c r="V58" s="510">
        <f t="shared" si="13"/>
        <v>2039</v>
      </c>
      <c r="W58" s="446"/>
    </row>
    <row r="59" spans="1:23" x14ac:dyDescent="0.2">
      <c r="A59" s="446"/>
      <c r="B59" s="474" t="s">
        <v>72</v>
      </c>
      <c r="C59" s="535" t="str">
        <f>C11</f>
        <v>AUD.</v>
      </c>
      <c r="D59" s="535" t="str">
        <f t="shared" ref="D59:P59" si="14">D11</f>
        <v>AUD.</v>
      </c>
      <c r="E59" s="535" t="str">
        <f t="shared" si="14"/>
        <v>AUD.</v>
      </c>
      <c r="F59" s="535" t="str">
        <f t="shared" si="14"/>
        <v>EST.</v>
      </c>
      <c r="G59" s="535" t="str">
        <f t="shared" si="14"/>
        <v>PROJ.</v>
      </c>
      <c r="H59" s="510" t="str">
        <f t="shared" si="14"/>
        <v>PROJ.</v>
      </c>
      <c r="I59" s="510" t="str">
        <f t="shared" si="14"/>
        <v>PROJ.</v>
      </c>
      <c r="J59" s="510" t="str">
        <f t="shared" si="14"/>
        <v>PROJ.</v>
      </c>
      <c r="K59" s="510" t="str">
        <f t="shared" si="14"/>
        <v>PROJ.</v>
      </c>
      <c r="L59" s="510" t="str">
        <f t="shared" si="14"/>
        <v>PROJ.</v>
      </c>
      <c r="M59" s="510" t="str">
        <f t="shared" si="14"/>
        <v>PROJ.</v>
      </c>
      <c r="N59" s="510" t="str">
        <f t="shared" si="14"/>
        <v>PROJ.</v>
      </c>
      <c r="O59" s="510" t="str">
        <f t="shared" si="14"/>
        <v>PROJ.</v>
      </c>
      <c r="P59" s="510" t="str">
        <f t="shared" si="14"/>
        <v>PROJ.</v>
      </c>
      <c r="Q59" s="510" t="str">
        <f t="shared" ref="Q59:V59" si="15">Q11</f>
        <v>PROJ.</v>
      </c>
      <c r="R59" s="510" t="str">
        <f t="shared" si="15"/>
        <v>PROJ.</v>
      </c>
      <c r="S59" s="510" t="str">
        <f t="shared" si="15"/>
        <v>PROJ.</v>
      </c>
      <c r="T59" s="510" t="str">
        <f t="shared" si="15"/>
        <v>PROJ.</v>
      </c>
      <c r="U59" s="510" t="str">
        <f t="shared" si="15"/>
        <v>PROJ.</v>
      </c>
      <c r="V59" s="510" t="str">
        <f t="shared" si="15"/>
        <v>PROJ.</v>
      </c>
      <c r="W59" s="446"/>
    </row>
    <row r="60" spans="1:23" x14ac:dyDescent="0.2">
      <c r="A60" s="446">
        <v>35</v>
      </c>
      <c r="B60" s="503" t="s">
        <v>355</v>
      </c>
      <c r="C60" s="183">
        <v>0.1</v>
      </c>
      <c r="D60" s="183">
        <v>0.12</v>
      </c>
      <c r="E60" s="183">
        <v>4.0599999999999996</v>
      </c>
      <c r="F60" s="189">
        <v>12.5</v>
      </c>
      <c r="G60" s="189">
        <v>21.71</v>
      </c>
      <c r="H60" s="189">
        <v>21.71</v>
      </c>
      <c r="I60" s="189">
        <v>21.71</v>
      </c>
      <c r="J60" s="189">
        <v>21.71</v>
      </c>
      <c r="K60" s="189">
        <v>21.71</v>
      </c>
      <c r="L60" s="189">
        <v>21.71</v>
      </c>
      <c r="M60" s="189">
        <v>21.71</v>
      </c>
      <c r="N60" s="189">
        <v>21.71</v>
      </c>
      <c r="O60" s="189">
        <v>21.71</v>
      </c>
      <c r="P60" s="189">
        <v>21.71</v>
      </c>
      <c r="Q60" s="188"/>
      <c r="R60" s="188"/>
      <c r="S60" s="188"/>
      <c r="T60" s="188"/>
      <c r="U60" s="188"/>
      <c r="V60" s="188"/>
      <c r="W60" s="446"/>
    </row>
    <row r="61" spans="1:23" x14ac:dyDescent="0.2">
      <c r="A61" s="446"/>
      <c r="B61" s="446" t="s">
        <v>356</v>
      </c>
      <c r="C61" s="501"/>
      <c r="D61" s="501"/>
      <c r="E61" s="501"/>
      <c r="F61" s="501"/>
      <c r="G61" s="501"/>
      <c r="H61" s="515"/>
      <c r="I61" s="501"/>
      <c r="J61" s="501"/>
      <c r="K61" s="501"/>
      <c r="L61" s="501"/>
      <c r="M61" s="501"/>
      <c r="N61" s="501"/>
      <c r="O61" s="501"/>
      <c r="P61" s="501"/>
      <c r="Q61" s="501"/>
      <c r="R61" s="501"/>
      <c r="S61" s="501"/>
      <c r="T61" s="501"/>
      <c r="U61" s="501"/>
      <c r="V61" s="501"/>
      <c r="W61" s="446"/>
    </row>
    <row r="62" spans="1:23" x14ac:dyDescent="0.2">
      <c r="A62" s="446">
        <v>36</v>
      </c>
      <c r="B62" s="446" t="s">
        <v>357</v>
      </c>
      <c r="C62" s="528">
        <f>'Oper.St.'!C47+INPUT!C16</f>
        <v>0.03</v>
      </c>
      <c r="D62" s="528">
        <f>'Oper.St.'!D47+INPUT!D16+C62</f>
        <v>0.05</v>
      </c>
      <c r="E62" s="528">
        <f>'Oper.St.'!E47+INPUT!E16+D62</f>
        <v>7.0000000000000007E-2</v>
      </c>
      <c r="F62" s="528">
        <f>'Oper.St.'!F47+INPUT!F16+E62</f>
        <v>9.0000000000000011E-2</v>
      </c>
      <c r="G62" s="528">
        <f>'Oper.St.'!G47+INPUT!G16+F62</f>
        <v>1.6600000000000001</v>
      </c>
      <c r="H62" s="528">
        <f>'Oper.St.'!H47+INPUT!H16+G62</f>
        <v>4.1400000000000006</v>
      </c>
      <c r="I62" s="528">
        <f>'Oper.St.'!I47+INPUT!I16+H62</f>
        <v>6.3000000000000007</v>
      </c>
      <c r="J62" s="528">
        <f>'Oper.St.'!J47+INPUT!J16+I62</f>
        <v>8.18</v>
      </c>
      <c r="K62" s="528">
        <f>'Oper.St.'!K47+INPUT!K16+J62</f>
        <v>9.82</v>
      </c>
      <c r="L62" s="528">
        <f>'Oper.St.'!L47+INPUT!L16+K62</f>
        <v>11.25</v>
      </c>
      <c r="M62" s="528">
        <f>'Oper.St.'!M47+INPUT!M16+L62</f>
        <v>12.49</v>
      </c>
      <c r="N62" s="528">
        <f>'Oper.St.'!N47+INPUT!N16+M62</f>
        <v>12.49</v>
      </c>
      <c r="O62" s="528">
        <f>'Oper.St.'!O47+INPUT!O16+N62</f>
        <v>12.49</v>
      </c>
      <c r="P62" s="528">
        <f>'Oper.St.'!P47+INPUT!P16+O62</f>
        <v>12.49</v>
      </c>
      <c r="Q62" s="528">
        <f>'Oper.St.'!Q47+INPUT!Q16+P62</f>
        <v>12.49</v>
      </c>
      <c r="R62" s="528">
        <f>'Oper.St.'!R47+INPUT!R16+Q62</f>
        <v>12.49</v>
      </c>
      <c r="S62" s="528">
        <f>'Oper.St.'!S47+INPUT!S16+R62</f>
        <v>12.49</v>
      </c>
      <c r="T62" s="528">
        <f>'Oper.St.'!T47+INPUT!T16+S62</f>
        <v>12.49</v>
      </c>
      <c r="U62" s="528">
        <f>'Oper.St.'!U47+INPUT!U16+T62</f>
        <v>12.49</v>
      </c>
      <c r="V62" s="528">
        <f>'Oper.St.'!V47+INPUT!V16+U62</f>
        <v>12.49</v>
      </c>
      <c r="W62" s="446"/>
    </row>
    <row r="63" spans="1:23" x14ac:dyDescent="0.2">
      <c r="A63" s="446"/>
      <c r="B63" s="446"/>
      <c r="C63" s="504"/>
      <c r="D63" s="504"/>
      <c r="E63" s="504"/>
      <c r="F63" s="504"/>
      <c r="G63" s="504"/>
      <c r="H63" s="505"/>
      <c r="I63" s="504"/>
      <c r="J63" s="504"/>
      <c r="K63" s="504"/>
      <c r="L63" s="504"/>
      <c r="M63" s="504"/>
      <c r="N63" s="504"/>
      <c r="O63" s="504"/>
      <c r="P63" s="504"/>
      <c r="Q63" s="504"/>
      <c r="R63" s="504"/>
      <c r="S63" s="504"/>
      <c r="T63" s="504"/>
      <c r="U63" s="504"/>
      <c r="V63" s="504"/>
      <c r="W63" s="446"/>
    </row>
    <row r="64" spans="1:23" x14ac:dyDescent="0.2">
      <c r="A64" s="446">
        <v>37</v>
      </c>
      <c r="B64" s="446" t="s">
        <v>358</v>
      </c>
      <c r="C64" s="484">
        <f>C60-C62</f>
        <v>7.0000000000000007E-2</v>
      </c>
      <c r="D64" s="484">
        <f t="shared" ref="D64:P64" si="16">D60-D62</f>
        <v>6.9999999999999993E-2</v>
      </c>
      <c r="E64" s="484">
        <f t="shared" si="16"/>
        <v>3.9899999999999998</v>
      </c>
      <c r="F64" s="484">
        <f t="shared" si="16"/>
        <v>12.41</v>
      </c>
      <c r="G64" s="484">
        <f t="shared" si="16"/>
        <v>20.05</v>
      </c>
      <c r="H64" s="484">
        <f t="shared" si="16"/>
        <v>17.57</v>
      </c>
      <c r="I64" s="484">
        <f t="shared" si="16"/>
        <v>15.41</v>
      </c>
      <c r="J64" s="484">
        <f t="shared" si="16"/>
        <v>13.530000000000001</v>
      </c>
      <c r="K64" s="484">
        <f t="shared" si="16"/>
        <v>11.89</v>
      </c>
      <c r="L64" s="484">
        <f t="shared" si="16"/>
        <v>10.46</v>
      </c>
      <c r="M64" s="484">
        <f t="shared" si="16"/>
        <v>9.2200000000000006</v>
      </c>
      <c r="N64" s="484">
        <f t="shared" si="16"/>
        <v>9.2200000000000006</v>
      </c>
      <c r="O64" s="484">
        <f t="shared" si="16"/>
        <v>9.2200000000000006</v>
      </c>
      <c r="P64" s="484">
        <f t="shared" si="16"/>
        <v>9.2200000000000006</v>
      </c>
      <c r="Q64" s="484">
        <f t="shared" ref="Q64:V64" si="17">Q60-Q62</f>
        <v>-12.49</v>
      </c>
      <c r="R64" s="484">
        <f t="shared" si="17"/>
        <v>-12.49</v>
      </c>
      <c r="S64" s="484">
        <f t="shared" si="17"/>
        <v>-12.49</v>
      </c>
      <c r="T64" s="484">
        <f t="shared" si="17"/>
        <v>-12.49</v>
      </c>
      <c r="U64" s="484">
        <f t="shared" si="17"/>
        <v>-12.49</v>
      </c>
      <c r="V64" s="484">
        <f t="shared" si="17"/>
        <v>-12.49</v>
      </c>
      <c r="W64" s="446"/>
    </row>
    <row r="65" spans="1:23" x14ac:dyDescent="0.2">
      <c r="A65" s="446"/>
      <c r="B65" s="446"/>
      <c r="C65" s="504"/>
      <c r="D65" s="504"/>
      <c r="E65" s="504"/>
      <c r="F65" s="504"/>
      <c r="G65" s="504"/>
      <c r="H65" s="505"/>
      <c r="I65" s="504"/>
      <c r="J65" s="504"/>
      <c r="K65" s="504"/>
      <c r="L65" s="504"/>
      <c r="M65" s="504"/>
      <c r="N65" s="504"/>
      <c r="O65" s="504"/>
      <c r="P65" s="504"/>
      <c r="Q65" s="504"/>
      <c r="R65" s="504"/>
      <c r="S65" s="504"/>
      <c r="T65" s="504"/>
      <c r="U65" s="504"/>
      <c r="V65" s="504"/>
      <c r="W65" s="446"/>
    </row>
    <row r="66" spans="1:23" x14ac:dyDescent="0.2">
      <c r="A66" s="446"/>
      <c r="B66" s="503" t="s">
        <v>359</v>
      </c>
      <c r="C66" s="501"/>
      <c r="D66" s="501"/>
      <c r="E66" s="501" t="s">
        <v>360</v>
      </c>
      <c r="F66" s="501"/>
      <c r="G66" s="501"/>
      <c r="H66" s="515"/>
      <c r="I66" s="501"/>
      <c r="J66" s="501"/>
      <c r="K66" s="501"/>
      <c r="L66" s="501"/>
      <c r="M66" s="501"/>
      <c r="N66" s="501"/>
      <c r="O66" s="501"/>
      <c r="P66" s="501"/>
      <c r="Q66" s="501"/>
      <c r="R66" s="501"/>
      <c r="S66" s="501"/>
      <c r="T66" s="501"/>
      <c r="U66" s="501"/>
      <c r="V66" s="501"/>
      <c r="W66" s="446"/>
    </row>
    <row r="67" spans="1:23" x14ac:dyDescent="0.2">
      <c r="A67" s="446">
        <v>38</v>
      </c>
      <c r="B67" s="503" t="s">
        <v>361</v>
      </c>
      <c r="C67" s="501"/>
      <c r="D67" s="501"/>
      <c r="E67" s="501"/>
      <c r="F67" s="501"/>
      <c r="G67" s="501"/>
      <c r="H67" s="515"/>
      <c r="I67" s="501"/>
      <c r="J67" s="501"/>
      <c r="K67" s="501"/>
      <c r="L67" s="501"/>
      <c r="M67" s="501"/>
      <c r="N67" s="501"/>
      <c r="O67" s="501"/>
      <c r="P67" s="501"/>
      <c r="Q67" s="501"/>
      <c r="R67" s="501"/>
      <c r="S67" s="501"/>
      <c r="T67" s="501"/>
      <c r="U67" s="501"/>
      <c r="V67" s="501"/>
      <c r="W67" s="446"/>
    </row>
    <row r="68" spans="1:23" x14ac:dyDescent="0.2">
      <c r="A68" s="446"/>
      <c r="B68" s="446" t="s">
        <v>362</v>
      </c>
      <c r="C68" s="501"/>
      <c r="D68" s="501"/>
      <c r="E68" s="501"/>
      <c r="F68" s="501"/>
      <c r="G68" s="501"/>
      <c r="H68" s="515"/>
      <c r="I68" s="501"/>
      <c r="J68" s="501"/>
      <c r="K68" s="501"/>
      <c r="L68" s="501"/>
      <c r="M68" s="501"/>
      <c r="N68" s="501"/>
      <c r="O68" s="501"/>
      <c r="P68" s="501"/>
      <c r="Q68" s="501"/>
      <c r="R68" s="501"/>
      <c r="S68" s="501"/>
      <c r="T68" s="501"/>
      <c r="U68" s="501"/>
      <c r="V68" s="501"/>
      <c r="W68" s="446"/>
    </row>
    <row r="69" spans="1:23" x14ac:dyDescent="0.2">
      <c r="A69" s="480" t="s">
        <v>254</v>
      </c>
      <c r="B69" s="446"/>
      <c r="C69" s="501"/>
      <c r="D69" s="501"/>
      <c r="E69" s="501"/>
      <c r="F69" s="501"/>
      <c r="G69" s="501"/>
      <c r="H69" s="515"/>
      <c r="I69" s="515"/>
      <c r="J69" s="515"/>
      <c r="K69" s="515"/>
      <c r="L69" s="515"/>
      <c r="M69" s="515"/>
      <c r="N69" s="515"/>
      <c r="O69" s="515"/>
      <c r="P69" s="515"/>
      <c r="Q69" s="515"/>
      <c r="R69" s="515"/>
      <c r="S69" s="515"/>
      <c r="T69" s="515"/>
      <c r="U69" s="515"/>
      <c r="V69" s="515"/>
      <c r="W69" s="446"/>
    </row>
    <row r="70" spans="1:23" x14ac:dyDescent="0.2">
      <c r="A70" s="446" t="s">
        <v>333</v>
      </c>
      <c r="B70" s="503" t="s">
        <v>363</v>
      </c>
      <c r="C70" s="183"/>
      <c r="D70" s="183"/>
      <c r="E70" s="183"/>
      <c r="F70" s="183"/>
      <c r="G70" s="183"/>
      <c r="H70" s="183"/>
      <c r="I70" s="183"/>
      <c r="J70" s="183"/>
      <c r="K70" s="183"/>
      <c r="L70" s="183"/>
      <c r="M70" s="183"/>
      <c r="N70" s="183"/>
      <c r="O70" s="183"/>
      <c r="P70" s="183"/>
      <c r="Q70" s="183"/>
      <c r="R70" s="183"/>
      <c r="S70" s="183"/>
      <c r="T70" s="183"/>
      <c r="U70" s="183"/>
      <c r="V70" s="183"/>
      <c r="W70" s="446"/>
    </row>
    <row r="71" spans="1:23" x14ac:dyDescent="0.2">
      <c r="A71" s="446" t="s">
        <v>334</v>
      </c>
      <c r="B71" s="446" t="s">
        <v>364</v>
      </c>
      <c r="C71" s="183"/>
      <c r="D71" s="183"/>
      <c r="E71" s="183"/>
      <c r="F71" s="183"/>
      <c r="G71" s="183"/>
      <c r="H71" s="190"/>
      <c r="I71" s="183"/>
      <c r="J71" s="183"/>
      <c r="K71" s="183"/>
      <c r="L71" s="183"/>
      <c r="M71" s="183"/>
      <c r="N71" s="183"/>
      <c r="O71" s="183"/>
      <c r="P71" s="183"/>
      <c r="Q71" s="183"/>
      <c r="R71" s="183"/>
      <c r="S71" s="183"/>
      <c r="T71" s="183"/>
      <c r="U71" s="183"/>
      <c r="V71" s="183"/>
      <c r="W71" s="446"/>
    </row>
    <row r="72" spans="1:23" x14ac:dyDescent="0.2">
      <c r="A72" s="446"/>
      <c r="B72" s="446"/>
      <c r="C72" s="501"/>
      <c r="D72" s="501"/>
      <c r="E72" s="501"/>
      <c r="F72" s="501"/>
      <c r="G72" s="501"/>
      <c r="H72" s="515"/>
      <c r="I72" s="501"/>
      <c r="J72" s="501"/>
      <c r="K72" s="501"/>
      <c r="L72" s="501"/>
      <c r="M72" s="501"/>
      <c r="N72" s="501"/>
      <c r="O72" s="501"/>
      <c r="P72" s="501"/>
      <c r="Q72" s="501"/>
      <c r="R72" s="501"/>
      <c r="S72" s="501"/>
      <c r="T72" s="501"/>
      <c r="U72" s="501"/>
      <c r="V72" s="501"/>
      <c r="W72" s="446"/>
    </row>
    <row r="73" spans="1:23" x14ac:dyDescent="0.2">
      <c r="A73" s="476" t="s">
        <v>255</v>
      </c>
      <c r="B73" s="503" t="s">
        <v>365</v>
      </c>
      <c r="C73" s="183"/>
      <c r="D73" s="183"/>
      <c r="E73" s="183"/>
      <c r="F73" s="183">
        <v>1.52</v>
      </c>
      <c r="G73" s="183"/>
      <c r="H73" s="183"/>
      <c r="I73" s="183"/>
      <c r="J73" s="183"/>
      <c r="K73" s="183"/>
      <c r="L73" s="183"/>
      <c r="M73" s="183"/>
      <c r="N73" s="183"/>
      <c r="O73" s="183"/>
      <c r="P73" s="183"/>
      <c r="Q73" s="183"/>
      <c r="R73" s="183"/>
      <c r="S73" s="183"/>
      <c r="T73" s="183"/>
      <c r="U73" s="183"/>
      <c r="V73" s="183"/>
      <c r="W73" s="446"/>
    </row>
    <row r="74" spans="1:23" x14ac:dyDescent="0.2">
      <c r="A74" s="476"/>
      <c r="B74" s="446" t="s">
        <v>366</v>
      </c>
      <c r="C74" s="501"/>
      <c r="D74" s="501"/>
      <c r="E74" s="501"/>
      <c r="F74" s="501"/>
      <c r="G74" s="501"/>
      <c r="H74" s="515"/>
      <c r="I74" s="501"/>
      <c r="J74" s="501"/>
      <c r="K74" s="501"/>
      <c r="L74" s="501"/>
      <c r="M74" s="501"/>
      <c r="N74" s="501"/>
      <c r="O74" s="501"/>
      <c r="P74" s="501"/>
      <c r="Q74" s="501"/>
      <c r="R74" s="501"/>
      <c r="S74" s="501"/>
      <c r="T74" s="501"/>
      <c r="U74" s="501"/>
      <c r="V74" s="501"/>
      <c r="W74" s="446"/>
    </row>
    <row r="75" spans="1:23" x14ac:dyDescent="0.2">
      <c r="A75" s="476" t="s">
        <v>256</v>
      </c>
      <c r="B75" s="446" t="s">
        <v>367</v>
      </c>
      <c r="C75" s="183"/>
      <c r="D75" s="183"/>
      <c r="E75" s="183"/>
      <c r="F75" s="190"/>
      <c r="G75" s="183"/>
      <c r="H75" s="183"/>
      <c r="I75" s="183"/>
      <c r="J75" s="183"/>
      <c r="K75" s="183"/>
      <c r="L75" s="183"/>
      <c r="M75" s="183"/>
      <c r="N75" s="183"/>
      <c r="O75" s="183"/>
      <c r="P75" s="183"/>
      <c r="Q75" s="183"/>
      <c r="R75" s="183"/>
      <c r="S75" s="183"/>
      <c r="T75" s="183"/>
      <c r="U75" s="183"/>
      <c r="V75" s="183"/>
      <c r="W75" s="446"/>
    </row>
    <row r="76" spans="1:23" x14ac:dyDescent="0.2">
      <c r="A76" s="476" t="s">
        <v>257</v>
      </c>
      <c r="B76" s="446" t="s">
        <v>368</v>
      </c>
      <c r="C76" s="183"/>
      <c r="D76" s="183"/>
      <c r="E76" s="183"/>
      <c r="F76" s="190"/>
      <c r="G76" s="190"/>
      <c r="H76" s="190"/>
      <c r="I76" s="190"/>
      <c r="J76" s="190"/>
      <c r="K76" s="190"/>
      <c r="L76" s="190"/>
      <c r="M76" s="190"/>
      <c r="N76" s="190"/>
      <c r="O76" s="190"/>
      <c r="P76" s="190"/>
      <c r="Q76" s="190"/>
      <c r="R76" s="190"/>
      <c r="S76" s="190"/>
      <c r="T76" s="190"/>
      <c r="U76" s="190"/>
      <c r="V76" s="190"/>
      <c r="W76" s="446"/>
    </row>
    <row r="77" spans="1:23" x14ac:dyDescent="0.2">
      <c r="A77" s="476" t="s">
        <v>284</v>
      </c>
      <c r="B77" s="450" t="s">
        <v>369</v>
      </c>
      <c r="C77" s="183"/>
      <c r="D77" s="183"/>
      <c r="E77" s="183"/>
      <c r="F77" s="183"/>
      <c r="G77" s="183"/>
      <c r="H77" s="183"/>
      <c r="I77" s="183"/>
      <c r="J77" s="183"/>
      <c r="K77" s="183"/>
      <c r="L77" s="183"/>
      <c r="M77" s="183"/>
      <c r="N77" s="183"/>
      <c r="O77" s="183"/>
      <c r="P77" s="183"/>
      <c r="Q77" s="183"/>
      <c r="R77" s="183"/>
      <c r="S77" s="183"/>
      <c r="T77" s="183"/>
      <c r="U77" s="183"/>
      <c r="V77" s="183"/>
      <c r="W77" s="446"/>
    </row>
    <row r="78" spans="1:23" x14ac:dyDescent="0.2">
      <c r="A78" s="476" t="s">
        <v>285</v>
      </c>
      <c r="B78" s="450" t="s">
        <v>759</v>
      </c>
      <c r="C78" s="183"/>
      <c r="D78" s="183"/>
      <c r="E78" s="183">
        <v>0.17</v>
      </c>
      <c r="F78" s="183">
        <v>0.17</v>
      </c>
      <c r="G78" s="183">
        <v>0.32</v>
      </c>
      <c r="H78" s="183">
        <v>0.32</v>
      </c>
      <c r="I78" s="183">
        <v>0.32</v>
      </c>
      <c r="J78" s="183">
        <v>0.32</v>
      </c>
      <c r="K78" s="183">
        <v>0.32</v>
      </c>
      <c r="L78" s="183">
        <v>0.32</v>
      </c>
      <c r="M78" s="183">
        <v>0.32</v>
      </c>
      <c r="N78" s="183"/>
      <c r="O78" s="183"/>
      <c r="P78" s="183"/>
      <c r="Q78" s="183"/>
      <c r="R78" s="183"/>
      <c r="S78" s="183"/>
      <c r="T78" s="183"/>
      <c r="U78" s="183"/>
      <c r="V78" s="183"/>
      <c r="W78" s="446"/>
    </row>
    <row r="79" spans="1:23" x14ac:dyDescent="0.2">
      <c r="A79" s="476" t="s">
        <v>287</v>
      </c>
      <c r="B79" s="187"/>
      <c r="C79" s="183"/>
      <c r="D79" s="183"/>
      <c r="E79" s="183"/>
      <c r="F79" s="190"/>
      <c r="G79" s="183"/>
      <c r="H79" s="183"/>
      <c r="I79" s="183"/>
      <c r="J79" s="183"/>
      <c r="K79" s="183"/>
      <c r="L79" s="183"/>
      <c r="M79" s="183"/>
      <c r="N79" s="183"/>
      <c r="O79" s="183"/>
      <c r="P79" s="183"/>
      <c r="Q79" s="183"/>
      <c r="R79" s="183"/>
      <c r="S79" s="183"/>
      <c r="T79" s="183"/>
      <c r="U79" s="183"/>
      <c r="V79" s="183"/>
      <c r="W79" s="446"/>
    </row>
    <row r="80" spans="1:23" x14ac:dyDescent="0.2">
      <c r="A80" s="447" t="s">
        <v>290</v>
      </c>
      <c r="B80" s="187"/>
      <c r="C80" s="183"/>
      <c r="D80" s="183"/>
      <c r="E80" s="183"/>
      <c r="F80" s="183"/>
      <c r="G80" s="183"/>
      <c r="H80" s="183"/>
      <c r="I80" s="183"/>
      <c r="J80" s="183"/>
      <c r="K80" s="183"/>
      <c r="L80" s="183"/>
      <c r="M80" s="183"/>
      <c r="N80" s="183"/>
      <c r="O80" s="183"/>
      <c r="P80" s="183"/>
      <c r="Q80" s="183"/>
      <c r="R80" s="183"/>
      <c r="S80" s="183"/>
      <c r="T80" s="183"/>
      <c r="U80" s="183"/>
      <c r="V80" s="183"/>
      <c r="W80" s="446"/>
    </row>
    <row r="81" spans="1:23" x14ac:dyDescent="0.2">
      <c r="A81" s="446" t="s">
        <v>292</v>
      </c>
      <c r="B81" s="187"/>
      <c r="C81" s="183"/>
      <c r="D81" s="183"/>
      <c r="E81" s="183"/>
      <c r="F81" s="183"/>
      <c r="G81" s="183"/>
      <c r="H81" s="183"/>
      <c r="I81" s="183"/>
      <c r="J81" s="183"/>
      <c r="K81" s="183"/>
      <c r="L81" s="183"/>
      <c r="M81" s="183"/>
      <c r="N81" s="183"/>
      <c r="O81" s="183"/>
      <c r="P81" s="183"/>
      <c r="Q81" s="183"/>
      <c r="R81" s="183"/>
      <c r="S81" s="183"/>
      <c r="T81" s="183"/>
      <c r="U81" s="183"/>
      <c r="V81" s="183"/>
      <c r="W81" s="446"/>
    </row>
    <row r="82" spans="1:23" x14ac:dyDescent="0.2">
      <c r="A82" s="446" t="s">
        <v>211</v>
      </c>
      <c r="B82" s="197"/>
      <c r="C82" s="183"/>
      <c r="D82" s="183"/>
      <c r="E82" s="183"/>
      <c r="F82" s="190"/>
      <c r="G82" s="183"/>
      <c r="H82" s="183"/>
      <c r="I82" s="183"/>
      <c r="J82" s="183"/>
      <c r="K82" s="183"/>
      <c r="L82" s="183"/>
      <c r="M82" s="183"/>
      <c r="N82" s="183"/>
      <c r="O82" s="183"/>
      <c r="P82" s="183"/>
      <c r="Q82" s="183"/>
      <c r="R82" s="183"/>
      <c r="S82" s="183"/>
      <c r="T82" s="183"/>
      <c r="U82" s="183"/>
      <c r="V82" s="183"/>
      <c r="W82" s="446"/>
    </row>
    <row r="83" spans="1:23" x14ac:dyDescent="0.2">
      <c r="A83" s="446">
        <v>39</v>
      </c>
      <c r="B83" s="450" t="s">
        <v>682</v>
      </c>
      <c r="C83" s="183"/>
      <c r="D83" s="183"/>
      <c r="E83" s="183"/>
      <c r="F83" s="190"/>
      <c r="G83" s="190"/>
      <c r="H83" s="190"/>
      <c r="I83" s="190"/>
      <c r="J83" s="190"/>
      <c r="K83" s="190"/>
      <c r="L83" s="183"/>
      <c r="M83" s="183"/>
      <c r="N83" s="183"/>
      <c r="O83" s="183"/>
      <c r="P83" s="183"/>
      <c r="Q83" s="183"/>
      <c r="R83" s="183"/>
      <c r="S83" s="183"/>
      <c r="T83" s="183"/>
      <c r="U83" s="183"/>
      <c r="V83" s="183"/>
      <c r="W83" s="446"/>
    </row>
    <row r="84" spans="1:23" x14ac:dyDescent="0.2">
      <c r="A84" s="446">
        <v>40</v>
      </c>
      <c r="B84" s="538" t="s">
        <v>370</v>
      </c>
      <c r="C84" s="183"/>
      <c r="D84" s="183"/>
      <c r="E84" s="183"/>
      <c r="F84" s="190"/>
      <c r="G84" s="183"/>
      <c r="H84" s="183"/>
      <c r="I84" s="183"/>
      <c r="J84" s="183"/>
      <c r="K84" s="183"/>
      <c r="L84" s="183"/>
      <c r="M84" s="183"/>
      <c r="N84" s="183"/>
      <c r="O84" s="183"/>
      <c r="P84" s="183"/>
      <c r="Q84" s="183"/>
      <c r="R84" s="183"/>
      <c r="S84" s="183"/>
      <c r="T84" s="183"/>
      <c r="U84" s="183"/>
      <c r="V84" s="183"/>
      <c r="W84" s="446"/>
    </row>
    <row r="85" spans="1:23" x14ac:dyDescent="0.2">
      <c r="A85" s="446"/>
      <c r="B85" s="446" t="s">
        <v>165</v>
      </c>
      <c r="C85" s="539">
        <f>'Oper.St.'!C96+INPUT!C21</f>
        <v>0</v>
      </c>
      <c r="D85" s="539">
        <f>'Oper.St.'!D96+INPUT!D21+C85</f>
        <v>0</v>
      </c>
      <c r="E85" s="539">
        <f>'Oper.St.'!E96+INPUT!E21+D85</f>
        <v>0</v>
      </c>
      <c r="F85" s="539">
        <f>'Oper.St.'!F96+INPUT!F21+E85</f>
        <v>0</v>
      </c>
      <c r="G85" s="539">
        <f>'Oper.St.'!G96+INPUT!G21+F85</f>
        <v>0</v>
      </c>
      <c r="H85" s="539">
        <f>'Oper.St.'!H96+INPUT!H21+G85</f>
        <v>0</v>
      </c>
      <c r="I85" s="539">
        <f>'Oper.St.'!I96+INPUT!I21+H85</f>
        <v>0</v>
      </c>
      <c r="J85" s="539">
        <f>'Oper.St.'!J96+INPUT!J21+I85</f>
        <v>0</v>
      </c>
      <c r="K85" s="539">
        <f>'Oper.St.'!K96+INPUT!K21+J85</f>
        <v>0</v>
      </c>
      <c r="L85" s="539">
        <f>'Oper.St.'!L96+INPUT!L21+K85</f>
        <v>0</v>
      </c>
      <c r="M85" s="539">
        <f>'Oper.St.'!M96+INPUT!M21+L85</f>
        <v>0</v>
      </c>
      <c r="N85" s="539">
        <f>'Oper.St.'!N96+INPUT!N21+M85</f>
        <v>0</v>
      </c>
      <c r="O85" s="539">
        <f>'Oper.St.'!O96+INPUT!O21+N85</f>
        <v>0</v>
      </c>
      <c r="P85" s="539">
        <f>'Oper.St.'!P96+INPUT!P21+O85</f>
        <v>0</v>
      </c>
      <c r="Q85" s="539">
        <f>'Oper.St.'!Q96+INPUT!Q21+P85</f>
        <v>0</v>
      </c>
      <c r="R85" s="539">
        <f>'Oper.St.'!R96+INPUT!R21+Q85</f>
        <v>0</v>
      </c>
      <c r="S85" s="539">
        <f>'Oper.St.'!S96+INPUT!S21+R85</f>
        <v>0</v>
      </c>
      <c r="T85" s="539">
        <f>'Oper.St.'!T96+INPUT!T21+S85</f>
        <v>0</v>
      </c>
      <c r="U85" s="539">
        <f>'Oper.St.'!U96+INPUT!U21+T85</f>
        <v>0</v>
      </c>
      <c r="V85" s="539">
        <f>'Oper.St.'!V96+INPUT!V21+U85</f>
        <v>0</v>
      </c>
      <c r="W85" s="446"/>
    </row>
    <row r="86" spans="1:23" x14ac:dyDescent="0.2">
      <c r="A86" s="446"/>
      <c r="B86" s="446"/>
      <c r="C86" s="504"/>
      <c r="D86" s="504"/>
      <c r="E86" s="504"/>
      <c r="F86" s="504"/>
      <c r="G86" s="504"/>
      <c r="H86" s="505"/>
      <c r="I86" s="504"/>
      <c r="J86" s="504"/>
      <c r="K86" s="504"/>
      <c r="L86" s="504"/>
      <c r="M86" s="504"/>
      <c r="N86" s="504"/>
      <c r="O86" s="504"/>
      <c r="P86" s="504"/>
      <c r="Q86" s="504"/>
      <c r="R86" s="504"/>
      <c r="S86" s="504"/>
      <c r="T86" s="504"/>
      <c r="U86" s="504"/>
      <c r="V86" s="504"/>
      <c r="W86" s="446"/>
    </row>
    <row r="87" spans="1:23" x14ac:dyDescent="0.2">
      <c r="A87" s="446">
        <v>41</v>
      </c>
      <c r="B87" s="538" t="s">
        <v>166</v>
      </c>
      <c r="C87" s="484">
        <f>SUM(C70:C71)+C73+SUM(C75:C85)</f>
        <v>0</v>
      </c>
      <c r="D87" s="484">
        <f t="shared" ref="D87:P87" si="18">SUM(D70:D71)+D73+SUM(D75:D85)</f>
        <v>0</v>
      </c>
      <c r="E87" s="484">
        <f t="shared" si="18"/>
        <v>0.17</v>
      </c>
      <c r="F87" s="484">
        <f t="shared" si="18"/>
        <v>1.69</v>
      </c>
      <c r="G87" s="484">
        <f t="shared" si="18"/>
        <v>0.32</v>
      </c>
      <c r="H87" s="484">
        <f t="shared" si="18"/>
        <v>0.32</v>
      </c>
      <c r="I87" s="484">
        <f t="shared" si="18"/>
        <v>0.32</v>
      </c>
      <c r="J87" s="484">
        <f t="shared" si="18"/>
        <v>0.32</v>
      </c>
      <c r="K87" s="484">
        <f t="shared" si="18"/>
        <v>0.32</v>
      </c>
      <c r="L87" s="484">
        <f t="shared" si="18"/>
        <v>0.32</v>
      </c>
      <c r="M87" s="484">
        <f t="shared" si="18"/>
        <v>0.32</v>
      </c>
      <c r="N87" s="484">
        <f t="shared" si="18"/>
        <v>0</v>
      </c>
      <c r="O87" s="484">
        <f t="shared" si="18"/>
        <v>0</v>
      </c>
      <c r="P87" s="484">
        <f t="shared" si="18"/>
        <v>0</v>
      </c>
      <c r="Q87" s="484">
        <f t="shared" ref="Q87:V87" si="19">SUM(Q70:Q71)+Q73+SUM(Q75:Q85)</f>
        <v>0</v>
      </c>
      <c r="R87" s="484">
        <f t="shared" si="19"/>
        <v>0</v>
      </c>
      <c r="S87" s="484">
        <f t="shared" si="19"/>
        <v>0</v>
      </c>
      <c r="T87" s="484">
        <f t="shared" si="19"/>
        <v>0</v>
      </c>
      <c r="U87" s="484">
        <f t="shared" si="19"/>
        <v>0</v>
      </c>
      <c r="V87" s="484">
        <f t="shared" si="19"/>
        <v>0</v>
      </c>
      <c r="W87" s="446"/>
    </row>
    <row r="88" spans="1:23" x14ac:dyDescent="0.2">
      <c r="A88" s="446"/>
      <c r="B88" s="446"/>
      <c r="C88" s="504"/>
      <c r="D88" s="504"/>
      <c r="E88" s="504"/>
      <c r="F88" s="504"/>
      <c r="G88" s="504"/>
      <c r="H88" s="505"/>
      <c r="I88" s="504"/>
      <c r="J88" s="504"/>
      <c r="K88" s="504"/>
      <c r="L88" s="504"/>
      <c r="M88" s="504"/>
      <c r="N88" s="504"/>
      <c r="O88" s="504"/>
      <c r="P88" s="504"/>
      <c r="Q88" s="504"/>
      <c r="R88" s="504"/>
      <c r="S88" s="504"/>
      <c r="T88" s="504"/>
      <c r="U88" s="504"/>
      <c r="V88" s="504"/>
      <c r="W88" s="446"/>
    </row>
    <row r="89" spans="1:23" x14ac:dyDescent="0.2">
      <c r="A89" s="446">
        <v>42</v>
      </c>
      <c r="B89" s="503" t="s">
        <v>167</v>
      </c>
      <c r="C89" s="183"/>
      <c r="D89" s="183"/>
      <c r="E89" s="183"/>
      <c r="F89" s="183">
        <v>0.08</v>
      </c>
      <c r="G89" s="183">
        <v>0.08</v>
      </c>
      <c r="H89" s="183">
        <v>0.06</v>
      </c>
      <c r="I89" s="183">
        <v>0.04</v>
      </c>
      <c r="J89" s="183">
        <v>0.02</v>
      </c>
      <c r="K89" s="183">
        <v>0</v>
      </c>
      <c r="L89" s="183"/>
      <c r="M89" s="183"/>
      <c r="N89" s="183"/>
      <c r="O89" s="183"/>
      <c r="P89" s="183"/>
      <c r="Q89" s="183"/>
      <c r="R89" s="183"/>
      <c r="S89" s="183"/>
      <c r="T89" s="183"/>
      <c r="U89" s="183"/>
      <c r="V89" s="183"/>
      <c r="W89" s="446"/>
    </row>
    <row r="90" spans="1:23" x14ac:dyDescent="0.2">
      <c r="A90" s="446"/>
      <c r="B90" s="503" t="s">
        <v>168</v>
      </c>
      <c r="C90" s="501"/>
      <c r="D90" s="501"/>
      <c r="E90" s="501"/>
      <c r="F90" s="501"/>
      <c r="G90" s="501"/>
      <c r="H90" s="515"/>
      <c r="I90" s="501"/>
      <c r="J90" s="501"/>
      <c r="K90" s="501"/>
      <c r="L90" s="501"/>
      <c r="M90" s="501"/>
      <c r="N90" s="501"/>
      <c r="O90" s="501"/>
      <c r="P90" s="501"/>
      <c r="Q90" s="501"/>
      <c r="R90" s="501"/>
      <c r="S90" s="501"/>
      <c r="T90" s="501"/>
      <c r="U90" s="501"/>
      <c r="V90" s="501"/>
      <c r="W90" s="446"/>
    </row>
    <row r="91" spans="1:23" x14ac:dyDescent="0.2">
      <c r="A91" s="446"/>
      <c r="B91" s="446" t="s">
        <v>98</v>
      </c>
      <c r="C91" s="528"/>
      <c r="D91" s="528"/>
      <c r="E91" s="528"/>
      <c r="F91" s="528"/>
      <c r="G91" s="528"/>
      <c r="H91" s="529"/>
      <c r="I91" s="528"/>
      <c r="J91" s="528"/>
      <c r="K91" s="528"/>
      <c r="L91" s="528"/>
      <c r="M91" s="528"/>
      <c r="N91" s="528"/>
      <c r="O91" s="528"/>
      <c r="P91" s="528"/>
      <c r="Q91" s="528"/>
      <c r="R91" s="528"/>
      <c r="S91" s="528"/>
      <c r="T91" s="528"/>
      <c r="U91" s="528"/>
      <c r="V91" s="528"/>
      <c r="W91" s="446"/>
    </row>
    <row r="92" spans="1:23" x14ac:dyDescent="0.2">
      <c r="A92" s="446"/>
      <c r="B92" s="446"/>
      <c r="C92" s="504"/>
      <c r="D92" s="504"/>
      <c r="E92" s="504"/>
      <c r="F92" s="504"/>
      <c r="G92" s="504"/>
      <c r="H92" s="505"/>
      <c r="I92" s="504"/>
      <c r="J92" s="504"/>
      <c r="K92" s="504"/>
      <c r="L92" s="504"/>
      <c r="M92" s="504"/>
      <c r="N92" s="504"/>
      <c r="O92" s="504"/>
      <c r="P92" s="504"/>
      <c r="Q92" s="504"/>
      <c r="R92" s="504"/>
      <c r="S92" s="504"/>
      <c r="T92" s="504"/>
      <c r="U92" s="504"/>
      <c r="V92" s="504"/>
      <c r="W92" s="446"/>
    </row>
    <row r="93" spans="1:23" x14ac:dyDescent="0.2">
      <c r="A93" s="446">
        <v>43</v>
      </c>
      <c r="B93" s="503" t="s">
        <v>37</v>
      </c>
      <c r="C93" s="484">
        <f>IF(C51+C87+C89=0,0,C51+C64+C87+C89)</f>
        <v>0.28000000000000003</v>
      </c>
      <c r="D93" s="484">
        <f t="shared" ref="D93:P93" si="20">IF(D51+D87+D89=0,0,D51+D64+D87+D89)</f>
        <v>0.44000000000000006</v>
      </c>
      <c r="E93" s="484">
        <f t="shared" si="20"/>
        <v>4.8499999999999996</v>
      </c>
      <c r="F93" s="484">
        <f t="shared" si="20"/>
        <v>15.25</v>
      </c>
      <c r="G93" s="484">
        <f t="shared" si="20"/>
        <v>26.81</v>
      </c>
      <c r="H93" s="484">
        <f t="shared" si="20"/>
        <v>27.494913125</v>
      </c>
      <c r="I93" s="484">
        <f t="shared" si="20"/>
        <v>27.863095749999999</v>
      </c>
      <c r="J93" s="484">
        <f t="shared" si="20"/>
        <v>27.445555187500002</v>
      </c>
      <c r="K93" s="484">
        <f t="shared" si="20"/>
        <v>27.123204125000001</v>
      </c>
      <c r="L93" s="484">
        <f t="shared" si="20"/>
        <v>26.783058750000002</v>
      </c>
      <c r="M93" s="484">
        <f t="shared" si="20"/>
        <v>26.239407812500005</v>
      </c>
      <c r="N93" s="484">
        <f t="shared" si="20"/>
        <v>0</v>
      </c>
      <c r="O93" s="484">
        <f t="shared" si="20"/>
        <v>0</v>
      </c>
      <c r="P93" s="484">
        <f t="shared" si="20"/>
        <v>0</v>
      </c>
      <c r="Q93" s="484">
        <f t="shared" ref="Q93:V93" si="21">IF(Q51+Q87+Q89=0,0,Q51+Q64+Q87+Q89)</f>
        <v>0</v>
      </c>
      <c r="R93" s="484">
        <f t="shared" si="21"/>
        <v>0</v>
      </c>
      <c r="S93" s="484">
        <f t="shared" si="21"/>
        <v>0</v>
      </c>
      <c r="T93" s="484">
        <f t="shared" si="21"/>
        <v>0</v>
      </c>
      <c r="U93" s="484">
        <f t="shared" si="21"/>
        <v>0</v>
      </c>
      <c r="V93" s="484">
        <f t="shared" si="21"/>
        <v>0</v>
      </c>
      <c r="W93" s="446"/>
    </row>
    <row r="94" spans="1:23" hidden="1" x14ac:dyDescent="0.2">
      <c r="A94" s="446"/>
      <c r="B94" s="446"/>
      <c r="C94" s="504"/>
      <c r="D94" s="504"/>
      <c r="E94" s="504"/>
      <c r="F94" s="504"/>
      <c r="G94" s="504"/>
      <c r="H94" s="505"/>
      <c r="I94" s="504"/>
      <c r="J94" s="504"/>
      <c r="K94" s="504"/>
      <c r="L94" s="504"/>
      <c r="M94" s="504"/>
      <c r="N94" s="504"/>
      <c r="O94" s="504"/>
      <c r="P94" s="504"/>
      <c r="Q94" s="504"/>
      <c r="R94" s="504"/>
      <c r="S94" s="504"/>
      <c r="T94" s="504"/>
      <c r="U94" s="504"/>
      <c r="V94" s="504"/>
      <c r="W94" s="446"/>
    </row>
    <row r="95" spans="1:23" hidden="1" x14ac:dyDescent="0.2">
      <c r="A95" s="446">
        <v>44</v>
      </c>
      <c r="B95" s="503" t="s">
        <v>38</v>
      </c>
      <c r="C95" s="487" t="e">
        <v>#REF!</v>
      </c>
      <c r="D95" s="487" t="e">
        <v>#REF!</v>
      </c>
      <c r="E95" s="487" t="e">
        <v>#REF!</v>
      </c>
      <c r="F95" s="487" t="e">
        <v>#REF!</v>
      </c>
      <c r="G95" s="487" t="e">
        <v>#REF!</v>
      </c>
      <c r="H95" s="487" t="e">
        <v>#REF!</v>
      </c>
      <c r="I95" s="487" t="e">
        <v>#REF!</v>
      </c>
      <c r="J95" s="487" t="e">
        <v>#REF!</v>
      </c>
      <c r="K95" s="487" t="e">
        <v>#REF!</v>
      </c>
      <c r="L95" s="487" t="e">
        <v>#REF!</v>
      </c>
      <c r="M95" s="487" t="e">
        <v>#REF!</v>
      </c>
      <c r="N95" s="487" t="e">
        <v>#REF!</v>
      </c>
      <c r="O95" s="487" t="e">
        <v>#REF!</v>
      </c>
      <c r="P95" s="487" t="e">
        <v>#REF!</v>
      </c>
      <c r="Q95" s="487" t="e">
        <v>#REF!</v>
      </c>
      <c r="R95" s="487" t="e">
        <v>#REF!</v>
      </c>
      <c r="S95" s="487" t="e">
        <v>#REF!</v>
      </c>
      <c r="T95" s="487" t="e">
        <v>#REF!</v>
      </c>
      <c r="U95" s="487" t="e">
        <v>#REF!</v>
      </c>
      <c r="V95" s="487" t="e">
        <v>#REF!</v>
      </c>
      <c r="W95" s="446"/>
    </row>
    <row r="96" spans="1:23" hidden="1" x14ac:dyDescent="0.2">
      <c r="A96" s="446"/>
      <c r="B96" s="446"/>
      <c r="C96" s="504"/>
      <c r="D96" s="504"/>
      <c r="E96" s="504"/>
      <c r="F96" s="504"/>
      <c r="G96" s="504"/>
      <c r="H96" s="505"/>
      <c r="I96" s="504"/>
      <c r="J96" s="504"/>
      <c r="K96" s="504"/>
      <c r="L96" s="504"/>
      <c r="M96" s="504"/>
      <c r="N96" s="504"/>
      <c r="O96" s="504"/>
      <c r="P96" s="504"/>
      <c r="Q96" s="504"/>
      <c r="R96" s="504"/>
      <c r="S96" s="504"/>
      <c r="T96" s="504"/>
      <c r="U96" s="504"/>
      <c r="V96" s="504"/>
      <c r="W96" s="446"/>
    </row>
    <row r="97" spans="1:23" hidden="1" x14ac:dyDescent="0.2">
      <c r="A97" s="446">
        <v>45</v>
      </c>
      <c r="B97" s="446" t="s">
        <v>39</v>
      </c>
      <c r="C97" s="500" t="e">
        <v>#REF!</v>
      </c>
      <c r="D97" s="500" t="e">
        <v>#REF!</v>
      </c>
      <c r="E97" s="500" t="e">
        <v>#REF!</v>
      </c>
      <c r="F97" s="500" t="e">
        <v>#REF!</v>
      </c>
      <c r="G97" s="500" t="e">
        <v>#REF!</v>
      </c>
      <c r="H97" s="500" t="e">
        <v>#REF!</v>
      </c>
      <c r="I97" s="500" t="e">
        <v>#REF!</v>
      </c>
      <c r="J97" s="500" t="e">
        <v>#REF!</v>
      </c>
      <c r="K97" s="500" t="e">
        <v>#REF!</v>
      </c>
      <c r="L97" s="500" t="e">
        <v>#REF!</v>
      </c>
      <c r="M97" s="500" t="e">
        <v>#REF!</v>
      </c>
      <c r="N97" s="500" t="e">
        <v>#REF!</v>
      </c>
      <c r="O97" s="500" t="e">
        <v>#REF!</v>
      </c>
      <c r="P97" s="500" t="e">
        <v>#REF!</v>
      </c>
      <c r="Q97" s="500" t="e">
        <v>#REF!</v>
      </c>
      <c r="R97" s="500" t="e">
        <v>#REF!</v>
      </c>
      <c r="S97" s="500" t="e">
        <v>#REF!</v>
      </c>
      <c r="T97" s="500" t="e">
        <v>#REF!</v>
      </c>
      <c r="U97" s="500" t="e">
        <v>#REF!</v>
      </c>
      <c r="V97" s="500" t="e">
        <v>#REF!</v>
      </c>
      <c r="W97" s="446"/>
    </row>
    <row r="98" spans="1:23" hidden="1" x14ac:dyDescent="0.2">
      <c r="A98" s="446"/>
      <c r="B98" s="446" t="s">
        <v>40</v>
      </c>
      <c r="C98" s="528"/>
      <c r="D98" s="528"/>
      <c r="E98" s="528"/>
      <c r="F98" s="528"/>
      <c r="G98" s="528"/>
      <c r="H98" s="529"/>
      <c r="I98" s="528"/>
      <c r="J98" s="528"/>
      <c r="K98" s="528"/>
      <c r="L98" s="528"/>
      <c r="M98" s="528"/>
      <c r="N98" s="528"/>
      <c r="O98" s="528"/>
      <c r="P98" s="528"/>
      <c r="Q98" s="528"/>
      <c r="R98" s="528"/>
      <c r="S98" s="528"/>
      <c r="T98" s="528"/>
      <c r="U98" s="528"/>
      <c r="V98" s="528"/>
      <c r="W98" s="446"/>
    </row>
    <row r="99" spans="1:23" hidden="1" x14ac:dyDescent="0.2">
      <c r="A99" s="446">
        <v>46</v>
      </c>
      <c r="B99" s="446" t="s">
        <v>41</v>
      </c>
      <c r="C99" s="540" t="e">
        <v>#REF!</v>
      </c>
      <c r="D99" s="540" t="e">
        <v>#REF!</v>
      </c>
      <c r="E99" s="540" t="e">
        <v>#REF!</v>
      </c>
      <c r="F99" s="540" t="e">
        <v>#REF!</v>
      </c>
      <c r="G99" s="540" t="e">
        <v>#REF!</v>
      </c>
      <c r="H99" s="540" t="e">
        <v>#REF!</v>
      </c>
      <c r="I99" s="540" t="e">
        <v>#REF!</v>
      </c>
      <c r="J99" s="540" t="e">
        <v>#REF!</v>
      </c>
      <c r="K99" s="540" t="e">
        <v>#REF!</v>
      </c>
      <c r="L99" s="540" t="e">
        <v>#REF!</v>
      </c>
      <c r="M99" s="540" t="e">
        <v>#REF!</v>
      </c>
      <c r="N99" s="540" t="e">
        <v>#REF!</v>
      </c>
      <c r="O99" s="540" t="e">
        <v>#REF!</v>
      </c>
      <c r="P99" s="540" t="e">
        <v>#REF!</v>
      </c>
      <c r="Q99" s="540" t="e">
        <v>#REF!</v>
      </c>
      <c r="R99" s="540" t="e">
        <v>#REF!</v>
      </c>
      <c r="S99" s="540" t="e">
        <v>#REF!</v>
      </c>
      <c r="T99" s="540" t="e">
        <v>#REF!</v>
      </c>
      <c r="U99" s="540" t="e">
        <v>#REF!</v>
      </c>
      <c r="V99" s="540" t="e">
        <v>#REF!</v>
      </c>
      <c r="W99" s="446"/>
    </row>
    <row r="100" spans="1:23" hidden="1" x14ac:dyDescent="0.2">
      <c r="A100" s="446">
        <v>47</v>
      </c>
      <c r="B100" s="538" t="s">
        <v>42</v>
      </c>
      <c r="C100" s="500" t="e">
        <v>#REF!</v>
      </c>
      <c r="D100" s="500" t="e">
        <v>#REF!</v>
      </c>
      <c r="E100" s="500" t="e">
        <v>#REF!</v>
      </c>
      <c r="F100" s="500" t="e">
        <v>#REF!</v>
      </c>
      <c r="G100" s="500" t="e">
        <v>#REF!</v>
      </c>
      <c r="H100" s="500" t="e">
        <v>#REF!</v>
      </c>
      <c r="I100" s="500" t="e">
        <v>#REF!</v>
      </c>
      <c r="J100" s="500" t="e">
        <v>#REF!</v>
      </c>
      <c r="K100" s="500" t="e">
        <v>#REF!</v>
      </c>
      <c r="L100" s="500" t="e">
        <v>#REF!</v>
      </c>
      <c r="M100" s="500" t="e">
        <v>#REF!</v>
      </c>
      <c r="N100" s="500" t="e">
        <v>#REF!</v>
      </c>
      <c r="O100" s="500" t="e">
        <v>#REF!</v>
      </c>
      <c r="P100" s="500" t="e">
        <v>#REF!</v>
      </c>
      <c r="Q100" s="500" t="e">
        <v>#REF!</v>
      </c>
      <c r="R100" s="500" t="e">
        <v>#REF!</v>
      </c>
      <c r="S100" s="500" t="e">
        <v>#REF!</v>
      </c>
      <c r="T100" s="500" t="e">
        <v>#REF!</v>
      </c>
      <c r="U100" s="500" t="e">
        <v>#REF!</v>
      </c>
      <c r="V100" s="500" t="e">
        <v>#REF!</v>
      </c>
      <c r="W100" s="446"/>
    </row>
    <row r="101" spans="1:23" hidden="1" x14ac:dyDescent="0.2">
      <c r="A101" s="446">
        <v>48</v>
      </c>
      <c r="B101" s="538" t="s">
        <v>43</v>
      </c>
      <c r="C101" s="487" t="e">
        <v>#REF!</v>
      </c>
      <c r="D101" s="487" t="e">
        <v>#REF!</v>
      </c>
      <c r="E101" s="487" t="e">
        <v>#REF!</v>
      </c>
      <c r="F101" s="487" t="e">
        <v>#REF!</v>
      </c>
      <c r="G101" s="487" t="e">
        <v>#REF!</v>
      </c>
      <c r="H101" s="487" t="e">
        <v>#REF!</v>
      </c>
      <c r="I101" s="487" t="e">
        <v>#REF!</v>
      </c>
      <c r="J101" s="487" t="e">
        <v>#REF!</v>
      </c>
      <c r="K101" s="487" t="e">
        <v>#REF!</v>
      </c>
      <c r="L101" s="487" t="e">
        <v>#REF!</v>
      </c>
      <c r="M101" s="487" t="e">
        <v>#REF!</v>
      </c>
      <c r="N101" s="487" t="e">
        <v>#REF!</v>
      </c>
      <c r="O101" s="487" t="e">
        <v>#REF!</v>
      </c>
      <c r="P101" s="487" t="e">
        <v>#REF!</v>
      </c>
      <c r="Q101" s="487" t="e">
        <v>#REF!</v>
      </c>
      <c r="R101" s="487" t="e">
        <v>#REF!</v>
      </c>
      <c r="S101" s="487" t="e">
        <v>#REF!</v>
      </c>
      <c r="T101" s="487" t="e">
        <v>#REF!</v>
      </c>
      <c r="U101" s="487" t="e">
        <v>#REF!</v>
      </c>
      <c r="V101" s="487" t="e">
        <v>#REF!</v>
      </c>
      <c r="W101" s="446"/>
    </row>
    <row r="102" spans="1:23" x14ac:dyDescent="0.2">
      <c r="A102" s="446"/>
      <c r="B102" s="538"/>
      <c r="C102" s="541"/>
      <c r="D102" s="541"/>
      <c r="E102" s="541"/>
      <c r="F102" s="541"/>
      <c r="G102" s="541"/>
      <c r="H102" s="541"/>
      <c r="I102" s="541"/>
      <c r="J102" s="541"/>
      <c r="K102" s="541"/>
      <c r="L102" s="541"/>
      <c r="M102" s="541"/>
      <c r="N102" s="541"/>
      <c r="O102" s="541"/>
      <c r="P102" s="541"/>
      <c r="Q102" s="541"/>
      <c r="R102" s="541"/>
      <c r="S102" s="541"/>
      <c r="T102" s="541"/>
      <c r="U102" s="541"/>
      <c r="V102" s="541"/>
      <c r="W102" s="446"/>
    </row>
    <row r="103" spans="1:23" s="545" customFormat="1" x14ac:dyDescent="0.2">
      <c r="A103" s="542"/>
      <c r="B103" s="543" t="s">
        <v>749</v>
      </c>
      <c r="C103" s="544">
        <f>C93-Liab!C103</f>
        <v>0</v>
      </c>
      <c r="D103" s="544">
        <f>D93-Liab!D103</f>
        <v>0</v>
      </c>
      <c r="E103" s="544">
        <f>E93-Liab!E103</f>
        <v>0</v>
      </c>
      <c r="F103" s="544">
        <f>F93-Liab!F103</f>
        <v>0</v>
      </c>
      <c r="G103" s="544">
        <f>G93-Liab!G103</f>
        <v>2.999999999996561E-3</v>
      </c>
      <c r="H103" s="544">
        <f>H93-Liab!H103</f>
        <v>-2.8118750000061254E-3</v>
      </c>
      <c r="I103" s="544">
        <f>I93-Liab!I103</f>
        <v>3.7182499999843799E-3</v>
      </c>
      <c r="J103" s="544">
        <f>J93-Liab!J103</f>
        <v>1.1711874999882355E-3</v>
      </c>
      <c r="K103" s="544">
        <f>K93-Liab!K103</f>
        <v>8.7537499999257307E-4</v>
      </c>
      <c r="L103" s="544">
        <f>L93-Liab!L103</f>
        <v>-8.1450000001126455E-4</v>
      </c>
      <c r="M103" s="544">
        <f>M93-Liab!M103</f>
        <v>4.4670625000087227E-3</v>
      </c>
      <c r="N103" s="544">
        <f>N93-Liab!N103</f>
        <v>0</v>
      </c>
      <c r="O103" s="544">
        <f>O93-Liab!O103</f>
        <v>0</v>
      </c>
      <c r="P103" s="544">
        <f>P93-Liab!P103</f>
        <v>0</v>
      </c>
      <c r="Q103" s="544">
        <f>Q93-Liab!Q103</f>
        <v>0</v>
      </c>
      <c r="R103" s="544">
        <f>R93-Liab!R103</f>
        <v>0</v>
      </c>
      <c r="S103" s="544">
        <f>S93-Liab!S103</f>
        <v>0</v>
      </c>
      <c r="T103" s="544">
        <f>T93-Liab!T103</f>
        <v>0</v>
      </c>
      <c r="U103" s="544">
        <f>U93-Liab!U103</f>
        <v>0</v>
      </c>
      <c r="V103" s="544">
        <f>V93-Liab!V103</f>
        <v>0</v>
      </c>
      <c r="W103" s="542"/>
    </row>
  </sheetData>
  <phoneticPr fontId="0"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V445"/>
  <sheetViews>
    <sheetView zoomScaleNormal="100" workbookViewId="0">
      <selection activeCell="H47" sqref="H47"/>
    </sheetView>
  </sheetViews>
  <sheetFormatPr defaultRowHeight="14.25" x14ac:dyDescent="0.2"/>
  <cols>
    <col min="1" max="1" width="25.140625" style="321" customWidth="1"/>
    <col min="2" max="21" width="10.7109375" style="288" customWidth="1"/>
    <col min="22" max="22" width="6.42578125" style="258" customWidth="1"/>
    <col min="23" max="16384" width="9.140625" style="258"/>
  </cols>
  <sheetData>
    <row r="1" spans="1:22" ht="17.25" customHeight="1" x14ac:dyDescent="0.25">
      <c r="A1" s="294" t="s">
        <v>904</v>
      </c>
      <c r="B1" s="295"/>
      <c r="C1" s="397"/>
      <c r="D1" s="295"/>
      <c r="E1" s="295"/>
      <c r="F1" s="295"/>
      <c r="G1" s="295"/>
      <c r="H1" s="295"/>
      <c r="I1" s="295"/>
      <c r="J1" s="295"/>
      <c r="K1" s="295"/>
      <c r="L1" s="295"/>
      <c r="M1" s="295"/>
      <c r="N1" s="295"/>
      <c r="O1" s="295"/>
      <c r="P1" s="295"/>
      <c r="Q1" s="295"/>
      <c r="R1" s="295"/>
      <c r="S1" s="295"/>
      <c r="T1" s="295"/>
      <c r="U1" s="295"/>
      <c r="V1" s="398"/>
    </row>
    <row r="2" spans="1:22" ht="18.75" customHeight="1" x14ac:dyDescent="0.25">
      <c r="A2" s="609" t="s">
        <v>553</v>
      </c>
      <c r="B2" s="610"/>
      <c r="C2" s="1089" t="str">
        <f>IF(INPUT!C6="","",INPUT!C6)</f>
        <v>M/s BOTHANZI MEDICALS PVT LTD.</v>
      </c>
      <c r="D2" s="1089"/>
      <c r="E2" s="1089"/>
      <c r="F2" s="1089"/>
      <c r="G2" s="1089"/>
      <c r="H2" s="1089"/>
      <c r="I2" s="611"/>
      <c r="J2" s="611"/>
      <c r="K2" s="611"/>
      <c r="L2" s="611"/>
      <c r="M2" s="611"/>
      <c r="N2" s="610"/>
      <c r="O2" s="610"/>
      <c r="P2" s="610"/>
      <c r="Q2" s="610"/>
      <c r="R2" s="610"/>
      <c r="S2" s="610"/>
      <c r="T2" s="610"/>
      <c r="U2" s="610"/>
      <c r="V2" s="612"/>
    </row>
    <row r="3" spans="1:22" s="297" customFormat="1" ht="12.75" customHeight="1" x14ac:dyDescent="0.25">
      <c r="A3" s="296"/>
      <c r="B3" s="261">
        <f>'Oper.St.'!C11</f>
        <v>2020</v>
      </c>
      <c r="C3" s="261">
        <f>'Oper.St.'!D11</f>
        <v>2021</v>
      </c>
      <c r="D3" s="261">
        <f>'Oper.St.'!E11</f>
        <v>2022</v>
      </c>
      <c r="E3" s="261">
        <f>'Oper.St.'!F11</f>
        <v>2023</v>
      </c>
      <c r="F3" s="261">
        <f>'Oper.St.'!G11</f>
        <v>2024</v>
      </c>
      <c r="G3" s="261">
        <f>'Oper.St.'!H11</f>
        <v>2025</v>
      </c>
      <c r="H3" s="261">
        <f>'Oper.St.'!I11</f>
        <v>2026</v>
      </c>
      <c r="I3" s="261">
        <f>'Oper.St.'!J11</f>
        <v>2027</v>
      </c>
      <c r="J3" s="261">
        <f>'Oper.St.'!K11</f>
        <v>2028</v>
      </c>
      <c r="K3" s="261">
        <f>'Oper.St.'!L11</f>
        <v>2029</v>
      </c>
      <c r="L3" s="261">
        <f>'Oper.St.'!M11</f>
        <v>2030</v>
      </c>
      <c r="M3" s="261">
        <f>'Oper.St.'!N11</f>
        <v>2031</v>
      </c>
      <c r="N3" s="261">
        <f>'Oper.St.'!O11</f>
        <v>2032</v>
      </c>
      <c r="O3" s="261">
        <f>'Oper.St.'!P11</f>
        <v>2033</v>
      </c>
      <c r="P3" s="261">
        <f>'Oper.St.'!Q11</f>
        <v>2034</v>
      </c>
      <c r="Q3" s="261">
        <f>'Oper.St.'!R11</f>
        <v>2035</v>
      </c>
      <c r="R3" s="261">
        <f>'Oper.St.'!S11</f>
        <v>2036</v>
      </c>
      <c r="S3" s="261">
        <f>'Oper.St.'!T11</f>
        <v>2037</v>
      </c>
      <c r="T3" s="261">
        <f>'Oper.St.'!U11</f>
        <v>2038</v>
      </c>
      <c r="U3" s="261">
        <f>'Oper.St.'!V11</f>
        <v>2039</v>
      </c>
      <c r="V3" s="613"/>
    </row>
    <row r="4" spans="1:22" s="297" customFormat="1" ht="12.75" customHeight="1" x14ac:dyDescent="0.25">
      <c r="A4" s="298"/>
      <c r="B4" s="299" t="str">
        <f>'Oper.St.'!C12</f>
        <v>AUD.</v>
      </c>
      <c r="C4" s="299" t="str">
        <f>'Oper.St.'!D12</f>
        <v>AUD.</v>
      </c>
      <c r="D4" s="299" t="str">
        <f>'Oper.St.'!E12</f>
        <v>AUD.</v>
      </c>
      <c r="E4" s="299" t="str">
        <f>'Oper.St.'!F12</f>
        <v>EST.</v>
      </c>
      <c r="F4" s="299" t="str">
        <f>'Oper.St.'!G12</f>
        <v>PROJ.</v>
      </c>
      <c r="G4" s="299" t="str">
        <f>'Oper.St.'!H12</f>
        <v>PROJ.</v>
      </c>
      <c r="H4" s="299" t="str">
        <f>'Oper.St.'!I12</f>
        <v>PROJ.</v>
      </c>
      <c r="I4" s="299" t="str">
        <f>'Oper.St.'!J12</f>
        <v>PROJ.</v>
      </c>
      <c r="J4" s="299" t="str">
        <f>'Oper.St.'!K12</f>
        <v>PROJ.</v>
      </c>
      <c r="K4" s="299" t="str">
        <f>'Oper.St.'!L12</f>
        <v>PROJ.</v>
      </c>
      <c r="L4" s="299" t="str">
        <f>'Oper.St.'!M12</f>
        <v>PROJ.</v>
      </c>
      <c r="M4" s="299" t="str">
        <f>'Oper.St.'!N12</f>
        <v>PROJ.</v>
      </c>
      <c r="N4" s="299" t="str">
        <f>'Oper.St.'!O12</f>
        <v>PROJ.</v>
      </c>
      <c r="O4" s="299" t="str">
        <f>'Oper.St.'!P12</f>
        <v>PROJ.</v>
      </c>
      <c r="P4" s="299" t="str">
        <f>'Oper.St.'!Q12</f>
        <v>PROJ.</v>
      </c>
      <c r="Q4" s="299" t="str">
        <f>'Oper.St.'!R12</f>
        <v>PROJ.</v>
      </c>
      <c r="R4" s="299" t="str">
        <f>'Oper.St.'!S12</f>
        <v>PROJ.</v>
      </c>
      <c r="S4" s="299" t="str">
        <f>'Oper.St.'!T12</f>
        <v>PROJ.</v>
      </c>
      <c r="T4" s="299" t="str">
        <f>'Oper.St.'!U12</f>
        <v>PROJ.</v>
      </c>
      <c r="U4" s="299" t="str">
        <f>'Oper.St.'!V12</f>
        <v>PROJ.</v>
      </c>
      <c r="V4" s="613"/>
    </row>
    <row r="5" spans="1:22" s="352" customFormat="1" ht="11.1" hidden="1" customHeight="1" x14ac:dyDescent="0.2">
      <c r="A5" s="351" t="s">
        <v>435</v>
      </c>
      <c r="B5" s="348">
        <f>IF(ISERROR('Oper.St.'!C17),"",IF('Oper.St.'!C17=0,"",'Oper.St.'!C17))</f>
        <v>0.8</v>
      </c>
      <c r="C5" s="348">
        <f>IF(ISERROR('Oper.St.'!D17),"",IF('Oper.St.'!D17=0,"",'Oper.St.'!D17))</f>
        <v>1.05</v>
      </c>
      <c r="D5" s="348">
        <f>IF(ISERROR('Oper.St.'!E17),"",IF('Oper.St.'!E17=0,"",'Oper.St.'!E17))</f>
        <v>2.2000000000000002</v>
      </c>
      <c r="E5" s="348">
        <f>IF(ISERROR('Oper.St.'!F17),"",IF('Oper.St.'!F17=0,"",'Oper.St.'!F17))</f>
        <v>4</v>
      </c>
      <c r="F5" s="348">
        <f>IF(ISERROR('Oper.St.'!G17),"",IF('Oper.St.'!G17=0,"",'Oper.St.'!G17))</f>
        <v>20</v>
      </c>
      <c r="G5" s="348">
        <f>IF(ISERROR('Oper.St.'!H17),"",IF('Oper.St.'!H17=0,"",'Oper.St.'!H17))</f>
        <v>34.28</v>
      </c>
      <c r="H5" s="348">
        <f>IF(ISERROR('Oper.St.'!I17),"",IF('Oper.St.'!I17=0,"",'Oper.St.'!I17))</f>
        <v>40.42</v>
      </c>
      <c r="I5" s="348">
        <f>IF(ISERROR('Oper.St.'!J17),"",IF('Oper.St.'!J17=0,"",'Oper.St.'!J17))</f>
        <v>44.09</v>
      </c>
      <c r="J5" s="348">
        <f>IF(ISERROR('Oper.St.'!K17),"",IF('Oper.St.'!K17=0,"",'Oper.St.'!K17))</f>
        <v>47.96</v>
      </c>
      <c r="K5" s="348">
        <f>IF(ISERROR('Oper.St.'!L17),"",IF('Oper.St.'!L17=0,"",'Oper.St.'!L17))</f>
        <v>52.03</v>
      </c>
      <c r="L5" s="348">
        <f>IF(ISERROR('Oper.St.'!M17),"",IF('Oper.St.'!M17=0,"",'Oper.St.'!M17))</f>
        <v>56.2</v>
      </c>
      <c r="M5" s="348" t="str">
        <f>IF(ISERROR('Oper.St.'!N17),"",IF('Oper.St.'!N17=0,"",'Oper.St.'!N17))</f>
        <v/>
      </c>
      <c r="N5" s="348" t="str">
        <f>IF(ISERROR('Oper.St.'!O17),"",IF('Oper.St.'!O17=0,"",'Oper.St.'!O17))</f>
        <v/>
      </c>
      <c r="O5" s="348" t="str">
        <f>IF(ISERROR('Oper.St.'!P17),"",IF('Oper.St.'!P17=0,"",'Oper.St.'!P17))</f>
        <v/>
      </c>
      <c r="P5" s="348" t="str">
        <f>IF(ISERROR('Oper.St.'!Q17),"",IF('Oper.St.'!Q17=0,"",'Oper.St.'!Q17))</f>
        <v/>
      </c>
      <c r="Q5" s="348" t="str">
        <f>IF(ISERROR('Oper.St.'!R17),"",IF('Oper.St.'!R17=0,"",'Oper.St.'!R17))</f>
        <v/>
      </c>
      <c r="R5" s="348" t="str">
        <f>IF(ISERROR('Oper.St.'!S17),"",IF('Oper.St.'!S17=0,"",'Oper.St.'!S17))</f>
        <v/>
      </c>
      <c r="S5" s="348" t="str">
        <f>IF(ISERROR('Oper.St.'!T17),"",IF('Oper.St.'!T17=0,"",'Oper.St.'!T17))</f>
        <v/>
      </c>
      <c r="T5" s="348" t="str">
        <f>IF(ISERROR('Oper.St.'!U17),"",IF('Oper.St.'!U17=0,"",'Oper.St.'!U17))</f>
        <v/>
      </c>
      <c r="U5" s="348" t="str">
        <f>IF(ISERROR('Oper.St.'!V17),"",IF('Oper.St.'!V17=0,"",'Oper.St.'!V17))</f>
        <v/>
      </c>
      <c r="V5" s="614"/>
    </row>
    <row r="6" spans="1:22" s="352" customFormat="1" ht="11.1" hidden="1" customHeight="1" x14ac:dyDescent="0.2">
      <c r="A6" s="353"/>
      <c r="B6" s="350" t="str">
        <f>IF(INPUT!C25="","",CONCATENATE("(",INPUT!C25,")"))</f>
        <v/>
      </c>
      <c r="C6" s="350" t="str">
        <f>IF(INPUT!D25="","",CONCATENATE("(",INPUT!D25,")"))</f>
        <v/>
      </c>
      <c r="D6" s="350" t="str">
        <f>IF(INPUT!E25="","",CONCATENATE("(",INPUT!E25,")"))</f>
        <v/>
      </c>
      <c r="E6" s="350" t="str">
        <f>IF(INPUT!F25="","",CONCATENATE("(",INPUT!F25,")"))</f>
        <v/>
      </c>
      <c r="F6" s="350" t="str">
        <f>IF(INPUT!G25="","",CONCATENATE("(",INPUT!G25,")"))</f>
        <v/>
      </c>
      <c r="G6" s="350" t="str">
        <f>IF(INPUT!H25="","",CONCATENATE("(",INPUT!H25,")"))</f>
        <v/>
      </c>
      <c r="H6" s="350" t="str">
        <f>IF(INPUT!I25="","",CONCATENATE("(",INPUT!I25,")"))</f>
        <v/>
      </c>
      <c r="I6" s="350" t="str">
        <f>IF(INPUT!J25="","",CONCATENATE("(",INPUT!J25,")"))</f>
        <v/>
      </c>
      <c r="J6" s="350" t="str">
        <f>IF(INPUT!K25="","",CONCATENATE("(",INPUT!K25,")"))</f>
        <v/>
      </c>
      <c r="K6" s="350" t="str">
        <f>IF(INPUT!L25="","",CONCATENATE("(",INPUT!L25,")"))</f>
        <v/>
      </c>
      <c r="L6" s="350" t="str">
        <f>IF(INPUT!M25="","",CONCATENATE("(",INPUT!M25,")"))</f>
        <v/>
      </c>
      <c r="M6" s="350" t="str">
        <f>IF(INPUT!N25="","",CONCATENATE("(",INPUT!N25,")"))</f>
        <v/>
      </c>
      <c r="N6" s="350" t="str">
        <f>IF(INPUT!O25="","",CONCATENATE("(",INPUT!O25,")"))</f>
        <v/>
      </c>
      <c r="O6" s="350" t="str">
        <f>IF(INPUT!P25="","",CONCATENATE("(",INPUT!P25,")"))</f>
        <v/>
      </c>
      <c r="P6" s="350" t="str">
        <f>IF(INPUT!Q25="","",CONCATENATE("(",INPUT!Q25,")"))</f>
        <v/>
      </c>
      <c r="Q6" s="350" t="str">
        <f>IF(INPUT!R25="","",CONCATENATE("(",INPUT!R25,")"))</f>
        <v/>
      </c>
      <c r="R6" s="350" t="str">
        <f>IF(INPUT!S25="","",CONCATENATE("(",INPUT!S25,")"))</f>
        <v/>
      </c>
      <c r="S6" s="350" t="str">
        <f>IF(INPUT!T25="","",CONCATENATE("(",INPUT!T25,")"))</f>
        <v/>
      </c>
      <c r="T6" s="350" t="str">
        <f>IF(INPUT!U25="","",CONCATENATE("(",INPUT!U25,")"))</f>
        <v/>
      </c>
      <c r="U6" s="350" t="str">
        <f>IF(INPUT!V25="","",CONCATENATE("(",INPUT!V25,")"))</f>
        <v/>
      </c>
      <c r="V6" s="614"/>
    </row>
    <row r="7" spans="1:22" s="355" customFormat="1" ht="11.1" customHeight="1" x14ac:dyDescent="0.2">
      <c r="A7" s="354" t="s">
        <v>436</v>
      </c>
      <c r="B7" s="349">
        <f>IF(ISERROR('Oper.St.'!C23),"",IF('Oper.St.'!C23=0,"",'Oper.St.'!C23))</f>
        <v>0.8</v>
      </c>
      <c r="C7" s="349">
        <f>IF(ISERROR('Oper.St.'!D23),"",IF('Oper.St.'!D23=0,"",'Oper.St.'!D23))</f>
        <v>1.05</v>
      </c>
      <c r="D7" s="349">
        <f>IF(ISERROR('Oper.St.'!E23),"",IF('Oper.St.'!E23=0,"",'Oper.St.'!E23))</f>
        <v>2.2000000000000002</v>
      </c>
      <c r="E7" s="349">
        <f>IF(ISERROR('Oper.St.'!F23),"",IF('Oper.St.'!F23=0,"",'Oper.St.'!F23))</f>
        <v>4</v>
      </c>
      <c r="F7" s="349">
        <f>IF(ISERROR('Oper.St.'!G23),"",IF('Oper.St.'!G23=0,"",'Oper.St.'!G23))</f>
        <v>20</v>
      </c>
      <c r="G7" s="349">
        <f>IF(ISERROR('Oper.St.'!H23),"",IF('Oper.St.'!H23=0,"",'Oper.St.'!H23))</f>
        <v>34.28</v>
      </c>
      <c r="H7" s="349">
        <f>IF(ISERROR('Oper.St.'!I23),"",IF('Oper.St.'!I23=0,"",'Oper.St.'!I23))</f>
        <v>40.42</v>
      </c>
      <c r="I7" s="349">
        <f>IF(ISERROR('Oper.St.'!J23),"",IF('Oper.St.'!J23=0,"",'Oper.St.'!J23))</f>
        <v>44.09</v>
      </c>
      <c r="J7" s="349">
        <f>IF(ISERROR('Oper.St.'!K23),"",IF('Oper.St.'!K23=0,"",'Oper.St.'!K23))</f>
        <v>47.96</v>
      </c>
      <c r="K7" s="349">
        <f>IF(ISERROR('Oper.St.'!L23),"",IF('Oper.St.'!L23=0,"",'Oper.St.'!L23))</f>
        <v>52.03</v>
      </c>
      <c r="L7" s="349">
        <f>IF(ISERROR('Oper.St.'!M23),"",IF('Oper.St.'!M23=0,"",'Oper.St.'!M23))</f>
        <v>56.2</v>
      </c>
      <c r="M7" s="349" t="str">
        <f>IF(ISERROR('Oper.St.'!N23),"",IF('Oper.St.'!N23=0,"",'Oper.St.'!N23))</f>
        <v/>
      </c>
      <c r="N7" s="349" t="str">
        <f>IF(ISERROR('Oper.St.'!O23),"",IF('Oper.St.'!O23=0,"",'Oper.St.'!O23))</f>
        <v/>
      </c>
      <c r="O7" s="349" t="str">
        <f>IF(ISERROR('Oper.St.'!P23),"",IF('Oper.St.'!P23=0,"",'Oper.St.'!P23))</f>
        <v/>
      </c>
      <c r="P7" s="349" t="str">
        <f>IF(ISERROR('Oper.St.'!Q23),"",IF('Oper.St.'!Q23=0,"",'Oper.St.'!Q23))</f>
        <v/>
      </c>
      <c r="Q7" s="349" t="str">
        <f>IF(ISERROR('Oper.St.'!R23),"",IF('Oper.St.'!R23=0,"",'Oper.St.'!R23))</f>
        <v/>
      </c>
      <c r="R7" s="349" t="str">
        <f>IF(ISERROR('Oper.St.'!S23),"",IF('Oper.St.'!S23=0,"",'Oper.St.'!S23))</f>
        <v/>
      </c>
      <c r="S7" s="349" t="str">
        <f>IF(ISERROR('Oper.St.'!T23),"",IF('Oper.St.'!T23=0,"",'Oper.St.'!T23))</f>
        <v/>
      </c>
      <c r="T7" s="349" t="str">
        <f>IF(ISERROR('Oper.St.'!U23),"",IF('Oper.St.'!U23=0,"",'Oper.St.'!U23))</f>
        <v/>
      </c>
      <c r="U7" s="349" t="str">
        <f>IF(ISERROR('Oper.St.'!V23),"",IF('Oper.St.'!V23=0,"",'Oper.St.'!V23))</f>
        <v/>
      </c>
      <c r="V7" s="615"/>
    </row>
    <row r="8" spans="1:22" s="355" customFormat="1" ht="11.1" customHeight="1" x14ac:dyDescent="0.2">
      <c r="A8" s="356"/>
      <c r="B8" s="357" t="str">
        <f>IF(INPUT!C26="","",CONCATENATE("(",INPUT!C26,")"))</f>
        <v/>
      </c>
      <c r="C8" s="357" t="str">
        <f>IF(INPUT!D26="","",CONCATENATE("(",INPUT!D26,")"))</f>
        <v/>
      </c>
      <c r="D8" s="357" t="str">
        <f>IF(INPUT!E26="","",CONCATENATE("(",INPUT!E26,")"))</f>
        <v/>
      </c>
      <c r="E8" s="357" t="str">
        <f>IF(INPUT!F26="","",CONCATENATE("(",INPUT!F26,")"))</f>
        <v/>
      </c>
      <c r="F8" s="357" t="str">
        <f>IF(INPUT!G26="","",CONCATENATE("(",INPUT!G26,")"))</f>
        <v/>
      </c>
      <c r="G8" s="357" t="str">
        <f>IF(INPUT!H26="","",CONCATENATE("(",INPUT!H26,")"))</f>
        <v/>
      </c>
      <c r="H8" s="357" t="str">
        <f>IF(INPUT!I26="","",CONCATENATE("(",INPUT!I26,")"))</f>
        <v/>
      </c>
      <c r="I8" s="357" t="str">
        <f>IF(INPUT!J26="","",CONCATENATE("(",INPUT!J26,")"))</f>
        <v/>
      </c>
      <c r="J8" s="357" t="str">
        <f>IF(INPUT!K26="","",CONCATENATE("(",INPUT!K26,")"))</f>
        <v/>
      </c>
      <c r="K8" s="357" t="str">
        <f>IF(INPUT!L26="","",CONCATENATE("(",INPUT!L26,")"))</f>
        <v/>
      </c>
      <c r="L8" s="357" t="str">
        <f>IF(INPUT!M26="","",CONCATENATE("(",INPUT!M26,")"))</f>
        <v/>
      </c>
      <c r="M8" s="357" t="str">
        <f>IF(INPUT!N26="","",CONCATENATE("(",INPUT!N26,")"))</f>
        <v/>
      </c>
      <c r="N8" s="357" t="str">
        <f>IF(INPUT!O26="","",CONCATENATE("(",INPUT!O26,")"))</f>
        <v/>
      </c>
      <c r="O8" s="357" t="str">
        <f>IF(INPUT!P26="","",CONCATENATE("(",INPUT!P26,")"))</f>
        <v/>
      </c>
      <c r="P8" s="357" t="str">
        <f>IF(INPUT!Q26="","",CONCATENATE("(",INPUT!Q26,")"))</f>
        <v/>
      </c>
      <c r="Q8" s="357" t="str">
        <f>IF(INPUT!R26="","",CONCATENATE("(",INPUT!R26,")"))</f>
        <v/>
      </c>
      <c r="R8" s="357" t="str">
        <f>IF(INPUT!S26="","",CONCATENATE("(",INPUT!S26,")"))</f>
        <v/>
      </c>
      <c r="S8" s="357" t="str">
        <f>IF(INPUT!T26="","",CONCATENATE("(",INPUT!T26,")"))</f>
        <v/>
      </c>
      <c r="T8" s="357" t="str">
        <f>IF(INPUT!U26="","",CONCATENATE("(",INPUT!U26,")"))</f>
        <v/>
      </c>
      <c r="U8" s="357" t="str">
        <f>IF(INPUT!V26="","",CONCATENATE("(",INPUT!V26,")"))</f>
        <v/>
      </c>
      <c r="V8" s="615"/>
    </row>
    <row r="9" spans="1:22" s="355" customFormat="1" ht="11.1" customHeight="1" x14ac:dyDescent="0.2">
      <c r="A9" s="354" t="s">
        <v>44</v>
      </c>
      <c r="B9" s="349">
        <f>IF(ISERROR('Oper.St.'!C14),"",IF('Oper.St.'!C14=0,"",'Oper.St.'!C14))</f>
        <v>0.8</v>
      </c>
      <c r="C9" s="349">
        <f>IF(ISERROR('Oper.St.'!D14),"",IF('Oper.St.'!D14=0,"",'Oper.St.'!D14))</f>
        <v>1.05</v>
      </c>
      <c r="D9" s="349">
        <f>IF(ISERROR('Oper.St.'!E14),"",IF('Oper.St.'!E14=0,"",'Oper.St.'!E14))</f>
        <v>2.2000000000000002</v>
      </c>
      <c r="E9" s="349">
        <f>IF(ISERROR('Oper.St.'!F14),"",IF('Oper.St.'!F14=0,"",'Oper.St.'!F14))</f>
        <v>4</v>
      </c>
      <c r="F9" s="349">
        <f>IF(ISERROR('Oper.St.'!G14),"",IF('Oper.St.'!G14=0,"",'Oper.St.'!G14))</f>
        <v>5</v>
      </c>
      <c r="G9" s="349">
        <f>IF(ISERROR('Oper.St.'!H14),"",IF('Oper.St.'!H14=0,"",'Oper.St.'!H14))</f>
        <v>6</v>
      </c>
      <c r="H9" s="349">
        <f>IF(ISERROR('Oper.St.'!I14),"",IF('Oper.St.'!I14=0,"",'Oper.St.'!I14))</f>
        <v>7</v>
      </c>
      <c r="I9" s="349">
        <f>IF(ISERROR('Oper.St.'!J14),"",IF('Oper.St.'!J14=0,"",'Oper.St.'!J14))</f>
        <v>8.1</v>
      </c>
      <c r="J9" s="349">
        <f>IF(ISERROR('Oper.St.'!K14),"",IF('Oper.St.'!K14=0,"",'Oper.St.'!K14))</f>
        <v>9.4</v>
      </c>
      <c r="K9" s="349">
        <f>IF(ISERROR('Oper.St.'!L14),"",IF('Oper.St.'!L14=0,"",'Oper.St.'!L14))</f>
        <v>10.9</v>
      </c>
      <c r="L9" s="349">
        <f>IF(ISERROR('Oper.St.'!M14),"",IF('Oper.St.'!M14=0,"",'Oper.St.'!M14))</f>
        <v>12.5</v>
      </c>
      <c r="M9" s="349" t="str">
        <f>IF(ISERROR('Oper.St.'!N14),"",IF('Oper.St.'!N14=0,"",'Oper.St.'!N14))</f>
        <v/>
      </c>
      <c r="N9" s="349" t="str">
        <f>IF(ISERROR('Oper.St.'!O14),"",IF('Oper.St.'!O14=0,"",'Oper.St.'!O14))</f>
        <v/>
      </c>
      <c r="O9" s="349" t="str">
        <f>IF(ISERROR('Oper.St.'!P14),"",IF('Oper.St.'!P14=0,"",'Oper.St.'!P14))</f>
        <v/>
      </c>
      <c r="P9" s="349" t="str">
        <f>IF(ISERROR('Oper.St.'!Q14),"",IF('Oper.St.'!Q14=0,"",'Oper.St.'!Q14))</f>
        <v/>
      </c>
      <c r="Q9" s="349" t="str">
        <f>IF(ISERROR('Oper.St.'!R14),"",IF('Oper.St.'!R14=0,"",'Oper.St.'!R14))</f>
        <v/>
      </c>
      <c r="R9" s="349" t="str">
        <f>IF(ISERROR('Oper.St.'!S14),"",IF('Oper.St.'!S14=0,"",'Oper.St.'!S14))</f>
        <v/>
      </c>
      <c r="S9" s="349" t="str">
        <f>IF(ISERROR('Oper.St.'!T14),"",IF('Oper.St.'!T14=0,"",'Oper.St.'!T14))</f>
        <v/>
      </c>
      <c r="T9" s="349" t="str">
        <f>IF(ISERROR('Oper.St.'!U14),"",IF('Oper.St.'!U14=0,"",'Oper.St.'!U14))</f>
        <v/>
      </c>
      <c r="U9" s="349" t="str">
        <f>IF(ISERROR('Oper.St.'!V14),"",IF('Oper.St.'!V14=0,"",'Oper.St.'!V14))</f>
        <v/>
      </c>
      <c r="V9" s="615"/>
    </row>
    <row r="10" spans="1:22" s="355" customFormat="1" ht="11.1" customHeight="1" x14ac:dyDescent="0.2">
      <c r="A10" s="356"/>
      <c r="B10" s="358" t="str">
        <f>IF(INPUT!C27="","",CONCATENATE("(",INPUT!C27,")"))</f>
        <v/>
      </c>
      <c r="C10" s="358" t="str">
        <f>IF(INPUT!D27="","",CONCATENATE("(",INPUT!D27,")"))</f>
        <v/>
      </c>
      <c r="D10" s="358" t="str">
        <f>IF(INPUT!E27="","",CONCATENATE("(",INPUT!E27,")"))</f>
        <v/>
      </c>
      <c r="E10" s="358" t="str">
        <f>IF(INPUT!F27="","",CONCATENATE("(",INPUT!F27,")"))</f>
        <v/>
      </c>
      <c r="F10" s="358" t="str">
        <f>IF(INPUT!G27="","",CONCATENATE("(",INPUT!G27,")"))</f>
        <v/>
      </c>
      <c r="G10" s="358" t="str">
        <f>IF(INPUT!H27="","",CONCATENATE("(",INPUT!H27,")"))</f>
        <v/>
      </c>
      <c r="H10" s="358" t="str">
        <f>IF(INPUT!I27="","",CONCATENATE("(",INPUT!I27,")"))</f>
        <v/>
      </c>
      <c r="I10" s="358" t="str">
        <f>IF(INPUT!J27="","",CONCATENATE("(",INPUT!J27,")"))</f>
        <v/>
      </c>
      <c r="J10" s="358" t="str">
        <f>IF(INPUT!K27="","",CONCATENATE("(",INPUT!K27,")"))</f>
        <v/>
      </c>
      <c r="K10" s="358" t="str">
        <f>IF(INPUT!L27="","",CONCATENATE("(",INPUT!L27,")"))</f>
        <v/>
      </c>
      <c r="L10" s="358" t="str">
        <f>IF(INPUT!M27="","",CONCATENATE("(",INPUT!M27,")"))</f>
        <v/>
      </c>
      <c r="M10" s="358" t="str">
        <f>IF(INPUT!N27="","",CONCATENATE("(",INPUT!N27,")"))</f>
        <v/>
      </c>
      <c r="N10" s="358" t="str">
        <f>IF(INPUT!O27="","",CONCATENATE("(",INPUT!O27,")"))</f>
        <v/>
      </c>
      <c r="O10" s="358" t="str">
        <f>IF(INPUT!P27="","",CONCATENATE("(",INPUT!P27,")"))</f>
        <v/>
      </c>
      <c r="P10" s="358" t="str">
        <f>IF(INPUT!Q27="","",CONCATENATE("(",INPUT!Q27,")"))</f>
        <v/>
      </c>
      <c r="Q10" s="358" t="str">
        <f>IF(INPUT!R27="","",CONCATENATE("(",INPUT!R27,")"))</f>
        <v/>
      </c>
      <c r="R10" s="358" t="str">
        <f>IF(INPUT!S27="","",CONCATENATE("(",INPUT!S27,")"))</f>
        <v/>
      </c>
      <c r="S10" s="358" t="str">
        <f>IF(INPUT!T27="","",CONCATENATE("(",INPUT!T27,")"))</f>
        <v/>
      </c>
      <c r="T10" s="358" t="str">
        <f>IF(INPUT!U27="","",CONCATENATE("(",INPUT!U27,")"))</f>
        <v/>
      </c>
      <c r="U10" s="358" t="str">
        <f>IF(INPUT!V27="","",CONCATENATE("(",INPUT!V27,")"))</f>
        <v/>
      </c>
      <c r="V10" s="615"/>
    </row>
    <row r="11" spans="1:22" s="355" customFormat="1" ht="11.1" hidden="1" customHeight="1" x14ac:dyDescent="0.2">
      <c r="A11" s="354" t="s">
        <v>437</v>
      </c>
      <c r="B11" s="349"/>
      <c r="C11" s="349"/>
      <c r="D11" s="349"/>
      <c r="E11" s="349"/>
      <c r="F11" s="349"/>
      <c r="G11" s="349"/>
      <c r="H11" s="349"/>
      <c r="I11" s="349"/>
      <c r="J11" s="349"/>
      <c r="K11" s="349"/>
      <c r="L11" s="349"/>
      <c r="M11" s="349"/>
      <c r="N11" s="349"/>
      <c r="O11" s="349"/>
      <c r="P11" s="349"/>
      <c r="Q11" s="349"/>
      <c r="R11" s="349"/>
      <c r="S11" s="349"/>
      <c r="T11" s="349"/>
      <c r="U11" s="349"/>
      <c r="V11" s="615"/>
    </row>
    <row r="12" spans="1:22" s="355" customFormat="1" ht="11.1" hidden="1" customHeight="1" x14ac:dyDescent="0.2">
      <c r="A12" s="356"/>
      <c r="B12" s="358" t="str">
        <f>IF(INPUT!C28="","",CONCATENATE("(",INPUT!C28,")"))</f>
        <v/>
      </c>
      <c r="C12" s="358" t="str">
        <f>IF(INPUT!D28="","",CONCATENATE("(",INPUT!D28,")"))</f>
        <v/>
      </c>
      <c r="D12" s="358" t="str">
        <f>IF(INPUT!E28="","",CONCATENATE("(",INPUT!E28,")"))</f>
        <v/>
      </c>
      <c r="E12" s="358" t="str">
        <f>IF(INPUT!F28="","",CONCATENATE("(",INPUT!F28,")"))</f>
        <v/>
      </c>
      <c r="F12" s="358" t="str">
        <f>IF(INPUT!G28="","",CONCATENATE("(",INPUT!G28,")"))</f>
        <v/>
      </c>
      <c r="G12" s="358" t="str">
        <f>IF(INPUT!H28="","",CONCATENATE("(",INPUT!H28,")"))</f>
        <v/>
      </c>
      <c r="H12" s="358" t="str">
        <f>IF(INPUT!I28="","",CONCATENATE("(",INPUT!I28,")"))</f>
        <v/>
      </c>
      <c r="I12" s="358" t="str">
        <f>IF(INPUT!J28="","",CONCATENATE("(",INPUT!J28,")"))</f>
        <v/>
      </c>
      <c r="J12" s="358" t="str">
        <f>IF(INPUT!K28="","",CONCATENATE("(",INPUT!K28,")"))</f>
        <v/>
      </c>
      <c r="K12" s="358" t="str">
        <f>IF(INPUT!L28="","",CONCATENATE("(",INPUT!L28,")"))</f>
        <v/>
      </c>
      <c r="L12" s="358" t="str">
        <f>IF(INPUT!M28="","",CONCATENATE("(",INPUT!M28,")"))</f>
        <v/>
      </c>
      <c r="M12" s="358" t="str">
        <f>IF(INPUT!N28="","",CONCATENATE("(",INPUT!N28,")"))</f>
        <v/>
      </c>
      <c r="N12" s="358" t="str">
        <f>IF(INPUT!O28="","",CONCATENATE("(",INPUT!O28,")"))</f>
        <v/>
      </c>
      <c r="O12" s="358" t="str">
        <f>IF(INPUT!P28="","",CONCATENATE("(",INPUT!P28,")"))</f>
        <v/>
      </c>
      <c r="P12" s="358" t="str">
        <f>IF(INPUT!Q28="","",CONCATENATE("(",INPUT!Q28,")"))</f>
        <v/>
      </c>
      <c r="Q12" s="358" t="str">
        <f>IF(INPUT!R28="","",CONCATENATE("(",INPUT!R28,")"))</f>
        <v/>
      </c>
      <c r="R12" s="358" t="str">
        <f>IF(INPUT!S28="","",CONCATENATE("(",INPUT!S28,")"))</f>
        <v/>
      </c>
      <c r="S12" s="358" t="str">
        <f>IF(INPUT!T28="","",CONCATENATE("(",INPUT!T28,")"))</f>
        <v/>
      </c>
      <c r="T12" s="358" t="str">
        <f>IF(INPUT!U28="","",CONCATENATE("(",INPUT!U28,")"))</f>
        <v/>
      </c>
      <c r="U12" s="358" t="str">
        <f>IF(INPUT!V28="","",CONCATENATE("(",INPUT!V28,")"))</f>
        <v/>
      </c>
      <c r="V12" s="615"/>
    </row>
    <row r="13" spans="1:22" s="355" customFormat="1" ht="11.1" hidden="1" customHeight="1" x14ac:dyDescent="0.2">
      <c r="A13" s="354" t="s">
        <v>486</v>
      </c>
      <c r="B13" s="349"/>
      <c r="C13" s="349"/>
      <c r="D13" s="349"/>
      <c r="E13" s="349"/>
      <c r="F13" s="349"/>
      <c r="G13" s="349"/>
      <c r="H13" s="349"/>
      <c r="I13" s="349"/>
      <c r="J13" s="349"/>
      <c r="K13" s="349"/>
      <c r="L13" s="349"/>
      <c r="M13" s="349"/>
      <c r="N13" s="349"/>
      <c r="O13" s="349"/>
      <c r="P13" s="349"/>
      <c r="Q13" s="349"/>
      <c r="R13" s="349"/>
      <c r="S13" s="349"/>
      <c r="T13" s="349"/>
      <c r="U13" s="349"/>
      <c r="V13" s="615"/>
    </row>
    <row r="14" spans="1:22" s="355" customFormat="1" ht="11.1" hidden="1" customHeight="1" x14ac:dyDescent="0.2">
      <c r="A14" s="356"/>
      <c r="B14" s="358" t="str">
        <f>IF(INPUT!C29="","",CONCATENATE("(",INPUT!C29,")"))</f>
        <v/>
      </c>
      <c r="C14" s="358" t="str">
        <f>IF(INPUT!D29="","",CONCATENATE("(",INPUT!D29,")"))</f>
        <v/>
      </c>
      <c r="D14" s="358" t="str">
        <f>IF(INPUT!E29="","",CONCATENATE("(",INPUT!E29,")"))</f>
        <v/>
      </c>
      <c r="E14" s="358" t="str">
        <f>IF(INPUT!F29="","",CONCATENATE("(",INPUT!F29,")"))</f>
        <v/>
      </c>
      <c r="F14" s="358" t="str">
        <f>IF(INPUT!G29="","",CONCATENATE("(",INPUT!G29,")"))</f>
        <v/>
      </c>
      <c r="G14" s="358" t="str">
        <f>IF(INPUT!H29="","",CONCATENATE("(",INPUT!H29,")"))</f>
        <v/>
      </c>
      <c r="H14" s="358" t="str">
        <f>IF(INPUT!I29="","",CONCATENATE("(",INPUT!I29,")"))</f>
        <v/>
      </c>
      <c r="I14" s="358" t="str">
        <f>IF(INPUT!J29="","",CONCATENATE("(",INPUT!J29,")"))</f>
        <v/>
      </c>
      <c r="J14" s="358" t="str">
        <f>IF(INPUT!K29="","",CONCATENATE("(",INPUT!K29,")"))</f>
        <v/>
      </c>
      <c r="K14" s="358" t="str">
        <f>IF(INPUT!L29="","",CONCATENATE("(",INPUT!L29,")"))</f>
        <v/>
      </c>
      <c r="L14" s="358" t="str">
        <f>IF(INPUT!M29="","",CONCATENATE("(",INPUT!M29,")"))</f>
        <v/>
      </c>
      <c r="M14" s="358" t="str">
        <f>IF(INPUT!N29="","",CONCATENATE("(",INPUT!N29,")"))</f>
        <v/>
      </c>
      <c r="N14" s="358" t="str">
        <f>IF(INPUT!O29="","",CONCATENATE("(",INPUT!O29,")"))</f>
        <v/>
      </c>
      <c r="O14" s="358" t="str">
        <f>IF(INPUT!P29="","",CONCATENATE("(",INPUT!P29,")"))</f>
        <v/>
      </c>
      <c r="P14" s="358" t="str">
        <f>IF(INPUT!Q29="","",CONCATENATE("(",INPUT!Q29,")"))</f>
        <v/>
      </c>
      <c r="Q14" s="358" t="str">
        <f>IF(INPUT!R29="","",CONCATENATE("(",INPUT!R29,")"))</f>
        <v/>
      </c>
      <c r="R14" s="358" t="str">
        <f>IF(INPUT!S29="","",CONCATENATE("(",INPUT!S29,")"))</f>
        <v/>
      </c>
      <c r="S14" s="358" t="str">
        <f>IF(INPUT!T29="","",CONCATENATE("(",INPUT!T29,")"))</f>
        <v/>
      </c>
      <c r="T14" s="358" t="str">
        <f>IF(INPUT!U29="","",CONCATENATE("(",INPUT!U29,")"))</f>
        <v/>
      </c>
      <c r="U14" s="358" t="str">
        <f>IF(INPUT!V29="","",CONCATENATE("(",INPUT!V29,")"))</f>
        <v/>
      </c>
      <c r="V14" s="615"/>
    </row>
    <row r="15" spans="1:22" s="355" customFormat="1" ht="11.1" hidden="1" customHeight="1" x14ac:dyDescent="0.2">
      <c r="A15" s="354" t="s">
        <v>53</v>
      </c>
      <c r="B15" s="349" t="str">
        <f>IF(ISERROR('Oper.St.'!C34),"",IF('Oper.St.'!C34=0,"",'Oper.St.'!C34))</f>
        <v/>
      </c>
      <c r="C15" s="349" t="str">
        <f>IF(ISERROR('Oper.St.'!D34),"",IF('Oper.St.'!D34=0,"",'Oper.St.'!D34))</f>
        <v/>
      </c>
      <c r="D15" s="349" t="str">
        <f>IF(ISERROR('Oper.St.'!E34),"",IF('Oper.St.'!E34=0,"",'Oper.St.'!E34))</f>
        <v/>
      </c>
      <c r="E15" s="349" t="str">
        <f>IF(ISERROR('Oper.St.'!F34),"",IF('Oper.St.'!F34=0,"",'Oper.St.'!F34))</f>
        <v/>
      </c>
      <c r="F15" s="349">
        <f>IF(ISERROR('Oper.St.'!G34),"",IF('Oper.St.'!G34=0,"",'Oper.St.'!G34))</f>
        <v>8.5399999999999991</v>
      </c>
      <c r="G15" s="349">
        <f>IF(ISERROR('Oper.St.'!H34),"",IF('Oper.St.'!H34=0,"",'Oper.St.'!H34))</f>
        <v>13.93</v>
      </c>
      <c r="H15" s="349">
        <f>IF(ISERROR('Oper.St.'!I34),"",IF('Oper.St.'!I34=0,"",'Oper.St.'!I34))</f>
        <v>18.25</v>
      </c>
      <c r="I15" s="349">
        <f>IF(ISERROR('Oper.St.'!J34),"",IF('Oper.St.'!J34=0,"",'Oper.St.'!J34))</f>
        <v>19.399999999999999</v>
      </c>
      <c r="J15" s="349">
        <f>IF(ISERROR('Oper.St.'!K34),"",IF('Oper.St.'!K34=0,"",'Oper.St.'!K34))</f>
        <v>21.5</v>
      </c>
      <c r="K15" s="349">
        <f>IF(ISERROR('Oper.St.'!L34),"",IF('Oper.St.'!L34=0,"",'Oper.St.'!L34))</f>
        <v>23.3</v>
      </c>
      <c r="L15" s="349">
        <f>IF(ISERROR('Oper.St.'!M34),"",IF('Oper.St.'!M34=0,"",'Oper.St.'!M34))</f>
        <v>25</v>
      </c>
      <c r="M15" s="349" t="str">
        <f>IF(ISERROR('Oper.St.'!N34),"",IF('Oper.St.'!N34=0,"",'Oper.St.'!N34))</f>
        <v/>
      </c>
      <c r="N15" s="349" t="str">
        <f>IF(ISERROR('Oper.St.'!O34),"",IF('Oper.St.'!O34=0,"",'Oper.St.'!O34))</f>
        <v/>
      </c>
      <c r="O15" s="349" t="str">
        <f>IF(ISERROR('Oper.St.'!P34),"",IF('Oper.St.'!P34=0,"",'Oper.St.'!P34))</f>
        <v/>
      </c>
      <c r="P15" s="349" t="str">
        <f>IF(ISERROR('Oper.St.'!Q34),"",IF('Oper.St.'!Q34=0,"",'Oper.St.'!Q34))</f>
        <v/>
      </c>
      <c r="Q15" s="349" t="str">
        <f>IF(ISERROR('Oper.St.'!R34),"",IF('Oper.St.'!R34=0,"",'Oper.St.'!R34))</f>
        <v/>
      </c>
      <c r="R15" s="349" t="str">
        <f>IF(ISERROR('Oper.St.'!S34),"",IF('Oper.St.'!S34=0,"",'Oper.St.'!S34))</f>
        <v/>
      </c>
      <c r="S15" s="349" t="str">
        <f>IF(ISERROR('Oper.St.'!T34),"",IF('Oper.St.'!T34=0,"",'Oper.St.'!T34))</f>
        <v/>
      </c>
      <c r="T15" s="349" t="str">
        <f>IF(ISERROR('Oper.St.'!U34),"",IF('Oper.St.'!U34=0,"",'Oper.St.'!U34))</f>
        <v/>
      </c>
      <c r="U15" s="349" t="str">
        <f>IF(ISERROR('Oper.St.'!V34),"",IF('Oper.St.'!V34=0,"",'Oper.St.'!V34))</f>
        <v/>
      </c>
      <c r="V15" s="615"/>
    </row>
    <row r="16" spans="1:22" s="355" customFormat="1" ht="11.1" hidden="1" customHeight="1" x14ac:dyDescent="0.2">
      <c r="A16" s="356"/>
      <c r="B16" s="358" t="str">
        <f>IF(INPUT!C30="","",CONCATENATE("(",INPUT!C30,")"))</f>
        <v/>
      </c>
      <c r="C16" s="358" t="str">
        <f>IF(INPUT!D30="","",CONCATENATE("(",INPUT!D30,")"))</f>
        <v/>
      </c>
      <c r="D16" s="358" t="str">
        <f>IF(INPUT!E30="","",CONCATENATE("(",INPUT!E30,")"))</f>
        <v/>
      </c>
      <c r="E16" s="358" t="str">
        <f>IF(INPUT!F30="","",CONCATENATE("(",INPUT!F30,")"))</f>
        <v/>
      </c>
      <c r="F16" s="358" t="str">
        <f>IF(INPUT!G30="","",CONCATENATE("(",INPUT!G30,")"))</f>
        <v/>
      </c>
      <c r="G16" s="358" t="str">
        <f>IF(INPUT!H30="","",CONCATENATE("(",INPUT!H30,")"))</f>
        <v/>
      </c>
      <c r="H16" s="358" t="str">
        <f>IF(INPUT!I30="","",CONCATENATE("(",INPUT!I30,")"))</f>
        <v/>
      </c>
      <c r="I16" s="358" t="str">
        <f>IF(INPUT!J30="","",CONCATENATE("(",INPUT!J30,")"))</f>
        <v/>
      </c>
      <c r="J16" s="358" t="str">
        <f>IF(INPUT!K30="","",CONCATENATE("(",INPUT!K30,")"))</f>
        <v/>
      </c>
      <c r="K16" s="358" t="str">
        <f>IF(INPUT!L30="","",CONCATENATE("(",INPUT!L30,")"))</f>
        <v/>
      </c>
      <c r="L16" s="358" t="str">
        <f>IF(INPUT!M30="","",CONCATENATE("(",INPUT!M30,")"))</f>
        <v/>
      </c>
      <c r="M16" s="358" t="str">
        <f>IF(INPUT!N30="","",CONCATENATE("(",INPUT!N30,")"))</f>
        <v/>
      </c>
      <c r="N16" s="358" t="str">
        <f>IF(INPUT!O30="","",CONCATENATE("(",INPUT!O30,")"))</f>
        <v/>
      </c>
      <c r="O16" s="358" t="str">
        <f>IF(INPUT!P30="","",CONCATENATE("(",INPUT!P30,")"))</f>
        <v/>
      </c>
      <c r="P16" s="358" t="str">
        <f>IF(INPUT!Q30="","",CONCATENATE("(",INPUT!Q30,")"))</f>
        <v/>
      </c>
      <c r="Q16" s="358" t="str">
        <f>IF(INPUT!R30="","",CONCATENATE("(",INPUT!R30,")"))</f>
        <v/>
      </c>
      <c r="R16" s="358" t="str">
        <f>IF(INPUT!S30="","",CONCATENATE("(",INPUT!S30,")"))</f>
        <v/>
      </c>
      <c r="S16" s="358" t="str">
        <f>IF(INPUT!T30="","",CONCATENATE("(",INPUT!T30,")"))</f>
        <v/>
      </c>
      <c r="T16" s="358" t="str">
        <f>IF(INPUT!U30="","",CONCATENATE("(",INPUT!U30,")"))</f>
        <v/>
      </c>
      <c r="U16" s="358" t="str">
        <f>IF(INPUT!V30="","",CONCATENATE("(",INPUT!V30,")"))</f>
        <v/>
      </c>
      <c r="V16" s="615"/>
    </row>
    <row r="17" spans="1:22" s="355" customFormat="1" ht="11.1" hidden="1" customHeight="1" x14ac:dyDescent="0.2">
      <c r="A17" s="354" t="s">
        <v>54</v>
      </c>
      <c r="B17" s="349" t="str">
        <f>IF(ISERROR('Oper.St.'!C40),"",IF('Oper.St.'!C40=0,"",'Oper.St.'!C40))</f>
        <v/>
      </c>
      <c r="C17" s="349" t="str">
        <f>IF(ISERROR('Oper.St.'!D40),"",IF('Oper.St.'!D40=0,"",'Oper.St.'!D40))</f>
        <v/>
      </c>
      <c r="D17" s="349" t="str">
        <f>IF(ISERROR('Oper.St.'!E40),"",IF('Oper.St.'!E40=0,"",'Oper.St.'!E40))</f>
        <v/>
      </c>
      <c r="E17" s="349" t="str">
        <f>IF(ISERROR('Oper.St.'!F40),"",IF('Oper.St.'!F40=0,"",'Oper.St.'!F40))</f>
        <v/>
      </c>
      <c r="F17" s="349">
        <f>IF(ISERROR('Oper.St.'!G40),"",IF('Oper.St.'!G40=0,"",'Oper.St.'!G40))</f>
        <v>0.75</v>
      </c>
      <c r="G17" s="349">
        <f>IF(ISERROR('Oper.St.'!H40),"",IF('Oper.St.'!H40=0,"",'Oper.St.'!H40))</f>
        <v>1.41</v>
      </c>
      <c r="H17" s="349">
        <f>IF(ISERROR('Oper.St.'!I40),"",IF('Oper.St.'!I40=0,"",'Oper.St.'!I40))</f>
        <v>1.67</v>
      </c>
      <c r="I17" s="349">
        <f>IF(ISERROR('Oper.St.'!J40),"",IF('Oper.St.'!J40=0,"",'Oper.St.'!J40))</f>
        <v>1.8</v>
      </c>
      <c r="J17" s="349">
        <f>IF(ISERROR('Oper.St.'!K40),"",IF('Oper.St.'!K40=0,"",'Oper.St.'!K40))</f>
        <v>1.93</v>
      </c>
      <c r="K17" s="349">
        <f>IF(ISERROR('Oper.St.'!L40),"",IF('Oper.St.'!L40=0,"",'Oper.St.'!L40))</f>
        <v>2.06</v>
      </c>
      <c r="L17" s="349">
        <f>IF(ISERROR('Oper.St.'!M40),"",IF('Oper.St.'!M40=0,"",'Oper.St.'!M40))</f>
        <v>2.19</v>
      </c>
      <c r="M17" s="349" t="str">
        <f>IF(ISERROR('Oper.St.'!N40),"",IF('Oper.St.'!N40=0,"",'Oper.St.'!N40))</f>
        <v/>
      </c>
      <c r="N17" s="349" t="str">
        <f>IF(ISERROR('Oper.St.'!O40),"",IF('Oper.St.'!O40=0,"",'Oper.St.'!O40))</f>
        <v/>
      </c>
      <c r="O17" s="349" t="str">
        <f>IF(ISERROR('Oper.St.'!P40),"",IF('Oper.St.'!P40=0,"",'Oper.St.'!P40))</f>
        <v/>
      </c>
      <c r="P17" s="349" t="str">
        <f>IF(ISERROR('Oper.St.'!Q40),"",IF('Oper.St.'!Q40=0,"",'Oper.St.'!Q40))</f>
        <v/>
      </c>
      <c r="Q17" s="349" t="str">
        <f>IF(ISERROR('Oper.St.'!R40),"",IF('Oper.St.'!R40=0,"",'Oper.St.'!R40))</f>
        <v/>
      </c>
      <c r="R17" s="349" t="str">
        <f>IF(ISERROR('Oper.St.'!S40),"",IF('Oper.St.'!S40=0,"",'Oper.St.'!S40))</f>
        <v/>
      </c>
      <c r="S17" s="349" t="str">
        <f>IF(ISERROR('Oper.St.'!T40),"",IF('Oper.St.'!T40=0,"",'Oper.St.'!T40))</f>
        <v/>
      </c>
      <c r="T17" s="349" t="str">
        <f>IF(ISERROR('Oper.St.'!U40),"",IF('Oper.St.'!U40=0,"",'Oper.St.'!U40))</f>
        <v/>
      </c>
      <c r="U17" s="349" t="str">
        <f>IF(ISERROR('Oper.St.'!V40),"",IF('Oper.St.'!V40=0,"",'Oper.St.'!V40))</f>
        <v/>
      </c>
      <c r="V17" s="615"/>
    </row>
    <row r="18" spans="1:22" s="355" customFormat="1" ht="11.1" hidden="1" customHeight="1" x14ac:dyDescent="0.2">
      <c r="A18" s="356"/>
      <c r="B18" s="358" t="str">
        <f>IF(INPUT!C31="","",CONCATENATE("(",INPUT!C31,")"))</f>
        <v/>
      </c>
      <c r="C18" s="358" t="str">
        <f>IF(INPUT!D31="","",CONCATENATE("(",INPUT!D31,")"))</f>
        <v/>
      </c>
      <c r="D18" s="358" t="str">
        <f>IF(INPUT!E31="","",CONCATENATE("(",INPUT!E31,")"))</f>
        <v/>
      </c>
      <c r="E18" s="358" t="str">
        <f>IF(INPUT!F31="","",CONCATENATE("(",INPUT!F31,")"))</f>
        <v/>
      </c>
      <c r="F18" s="358" t="str">
        <f>IF(INPUT!G31="","",CONCATENATE("(",INPUT!G31,")"))</f>
        <v/>
      </c>
      <c r="G18" s="358" t="str">
        <f>IF(INPUT!H31="","",CONCATENATE("(",INPUT!H31,")"))</f>
        <v/>
      </c>
      <c r="H18" s="358" t="str">
        <f>IF(INPUT!I31="","",CONCATENATE("(",INPUT!I31,")"))</f>
        <v/>
      </c>
      <c r="I18" s="358" t="str">
        <f>IF(INPUT!J31="","",CONCATENATE("(",INPUT!J31,")"))</f>
        <v/>
      </c>
      <c r="J18" s="358" t="str">
        <f>IF(INPUT!K31="","",CONCATENATE("(",INPUT!K31,")"))</f>
        <v/>
      </c>
      <c r="K18" s="358" t="str">
        <f>IF(INPUT!L31="","",CONCATENATE("(",INPUT!L31,")"))</f>
        <v/>
      </c>
      <c r="L18" s="358" t="str">
        <f>IF(INPUT!M31="","",CONCATENATE("(",INPUT!M31,")"))</f>
        <v/>
      </c>
      <c r="M18" s="358" t="str">
        <f>IF(INPUT!N31="","",CONCATENATE("(",INPUT!N31,")"))</f>
        <v/>
      </c>
      <c r="N18" s="358" t="str">
        <f>IF(INPUT!O31="","",CONCATENATE("(",INPUT!O31,")"))</f>
        <v/>
      </c>
      <c r="O18" s="358" t="str">
        <f>IF(INPUT!P31="","",CONCATENATE("(",INPUT!P31,")"))</f>
        <v/>
      </c>
      <c r="P18" s="358" t="str">
        <f>IF(INPUT!Q31="","",CONCATENATE("(",INPUT!Q31,")"))</f>
        <v/>
      </c>
      <c r="Q18" s="358" t="str">
        <f>IF(INPUT!R31="","",CONCATENATE("(",INPUT!R31,")"))</f>
        <v/>
      </c>
      <c r="R18" s="358" t="str">
        <f>IF(INPUT!S31="","",CONCATENATE("(",INPUT!S31,")"))</f>
        <v/>
      </c>
      <c r="S18" s="358" t="str">
        <f>IF(INPUT!T31="","",CONCATENATE("(",INPUT!T31,")"))</f>
        <v/>
      </c>
      <c r="T18" s="358" t="str">
        <f>IF(INPUT!U31="","",CONCATENATE("(",INPUT!U31,")"))</f>
        <v/>
      </c>
      <c r="U18" s="358" t="str">
        <f>IF(INPUT!V31="","",CONCATENATE("(",INPUT!V31,")"))</f>
        <v/>
      </c>
      <c r="V18" s="615"/>
    </row>
    <row r="19" spans="1:22" s="355" customFormat="1" ht="11.1" hidden="1" customHeight="1" x14ac:dyDescent="0.2">
      <c r="A19" s="354" t="s">
        <v>55</v>
      </c>
      <c r="B19" s="349" t="str">
        <f>IF(ISERROR('Oper.St.'!C42),"",IF('Oper.St.'!C42=0,"",'Oper.St.'!C42))</f>
        <v/>
      </c>
      <c r="C19" s="349" t="str">
        <f>IF(ISERROR('Oper.St.'!D42),"",IF('Oper.St.'!D42=0,"",'Oper.St.'!D42))</f>
        <v/>
      </c>
      <c r="D19" s="349" t="str">
        <f>IF(ISERROR('Oper.St.'!E42),"",IF('Oper.St.'!E42=0,"",'Oper.St.'!E42))</f>
        <v/>
      </c>
      <c r="E19" s="349" t="str">
        <f>IF(ISERROR('Oper.St.'!F42),"",IF('Oper.St.'!F42=0,"",'Oper.St.'!F42))</f>
        <v/>
      </c>
      <c r="F19" s="349">
        <f>IF(ISERROR('Oper.St.'!G42),"",IF('Oper.St.'!G42=0,"",'Oper.St.'!G42))</f>
        <v>3</v>
      </c>
      <c r="G19" s="349">
        <f>IF(ISERROR('Oper.St.'!H42),"",IF('Oper.St.'!H42=0,"",'Oper.St.'!H42))</f>
        <v>5.66</v>
      </c>
      <c r="H19" s="349">
        <f>IF(ISERROR('Oper.St.'!I42),"",IF('Oper.St.'!I42=0,"",'Oper.St.'!I42))</f>
        <v>6.68</v>
      </c>
      <c r="I19" s="349">
        <f>IF(ISERROR('Oper.St.'!J42),"",IF('Oper.St.'!J42=0,"",'Oper.St.'!J42))</f>
        <v>7.2</v>
      </c>
      <c r="J19" s="349">
        <f>IF(ISERROR('Oper.St.'!K42),"",IF('Oper.St.'!K42=0,"",'Oper.St.'!K42))</f>
        <v>7.71</v>
      </c>
      <c r="K19" s="349">
        <f>IF(ISERROR('Oper.St.'!L42),"",IF('Oper.St.'!L42=0,"",'Oper.St.'!L42))</f>
        <v>8.23</v>
      </c>
      <c r="L19" s="349">
        <f>IF(ISERROR('Oper.St.'!M42),"",IF('Oper.St.'!M42=0,"",'Oper.St.'!M42))</f>
        <v>8.74</v>
      </c>
      <c r="M19" s="349" t="str">
        <f>IF(ISERROR('Oper.St.'!N42),"",IF('Oper.St.'!N42=0,"",'Oper.St.'!N42))</f>
        <v/>
      </c>
      <c r="N19" s="349" t="str">
        <f>IF(ISERROR('Oper.St.'!O42),"",IF('Oper.St.'!O42=0,"",'Oper.St.'!O42))</f>
        <v/>
      </c>
      <c r="O19" s="349" t="str">
        <f>IF(ISERROR('Oper.St.'!P42),"",IF('Oper.St.'!P42=0,"",'Oper.St.'!P42))</f>
        <v/>
      </c>
      <c r="P19" s="349" t="str">
        <f>IF(ISERROR('Oper.St.'!Q42),"",IF('Oper.St.'!Q42=0,"",'Oper.St.'!Q42))</f>
        <v/>
      </c>
      <c r="Q19" s="349" t="str">
        <f>IF(ISERROR('Oper.St.'!R42),"",IF('Oper.St.'!R42=0,"",'Oper.St.'!R42))</f>
        <v/>
      </c>
      <c r="R19" s="349" t="str">
        <f>IF(ISERROR('Oper.St.'!S42),"",IF('Oper.St.'!S42=0,"",'Oper.St.'!S42))</f>
        <v/>
      </c>
      <c r="S19" s="349" t="str">
        <f>IF(ISERROR('Oper.St.'!T42),"",IF('Oper.St.'!T42=0,"",'Oper.St.'!T42))</f>
        <v/>
      </c>
      <c r="T19" s="349" t="str">
        <f>IF(ISERROR('Oper.St.'!U42),"",IF('Oper.St.'!U42=0,"",'Oper.St.'!U42))</f>
        <v/>
      </c>
      <c r="U19" s="349" t="str">
        <f>IF(ISERROR('Oper.St.'!V42),"",IF('Oper.St.'!V42=0,"",'Oper.St.'!V42))</f>
        <v/>
      </c>
      <c r="V19" s="615"/>
    </row>
    <row r="20" spans="1:22" s="355" customFormat="1" ht="11.1" hidden="1" customHeight="1" x14ac:dyDescent="0.2">
      <c r="A20" s="356"/>
      <c r="B20" s="358" t="str">
        <f>IF(INPUT!C32="","",CONCATENATE("(",INPUT!C32,")"))</f>
        <v/>
      </c>
      <c r="C20" s="358" t="str">
        <f>IF(INPUT!D32="","",CONCATENATE("(",INPUT!D32,")"))</f>
        <v/>
      </c>
      <c r="D20" s="358" t="str">
        <f>IF(INPUT!E32="","",CONCATENATE("(",INPUT!E32,")"))</f>
        <v/>
      </c>
      <c r="E20" s="358" t="str">
        <f>IF(INPUT!F32="","",CONCATENATE("(",INPUT!F32,")"))</f>
        <v/>
      </c>
      <c r="F20" s="358" t="str">
        <f>IF(INPUT!G32="","",CONCATENATE("(",INPUT!G32,")"))</f>
        <v/>
      </c>
      <c r="G20" s="358" t="str">
        <f>IF(INPUT!H32="","",CONCATENATE("(",INPUT!H32,")"))</f>
        <v/>
      </c>
      <c r="H20" s="358" t="str">
        <f>IF(INPUT!I32="","",CONCATENATE("(",INPUT!I32,")"))</f>
        <v/>
      </c>
      <c r="I20" s="358" t="str">
        <f>IF(INPUT!J32="","",CONCATENATE("(",INPUT!J32,")"))</f>
        <v/>
      </c>
      <c r="J20" s="358" t="str">
        <f>IF(INPUT!K32="","",CONCATENATE("(",INPUT!K32,")"))</f>
        <v/>
      </c>
      <c r="K20" s="358" t="str">
        <f>IF(INPUT!L32="","",CONCATENATE("(",INPUT!L32,")"))</f>
        <v/>
      </c>
      <c r="L20" s="358" t="str">
        <f>IF(INPUT!M32="","",CONCATENATE("(",INPUT!M32,")"))</f>
        <v/>
      </c>
      <c r="M20" s="358" t="str">
        <f>IF(INPUT!N32="","",CONCATENATE("(",INPUT!N32,")"))</f>
        <v/>
      </c>
      <c r="N20" s="358" t="str">
        <f>IF(INPUT!O32="","",CONCATENATE("(",INPUT!O32,")"))</f>
        <v/>
      </c>
      <c r="O20" s="358" t="str">
        <f>IF(INPUT!P32="","",CONCATENATE("(",INPUT!P32,")"))</f>
        <v/>
      </c>
      <c r="P20" s="358" t="str">
        <f>IF(INPUT!Q32="","",CONCATENATE("(",INPUT!Q32,")"))</f>
        <v/>
      </c>
      <c r="Q20" s="358" t="str">
        <f>IF(INPUT!R32="","",CONCATENATE("(",INPUT!R32,")"))</f>
        <v/>
      </c>
      <c r="R20" s="358" t="str">
        <f>IF(INPUT!S32="","",CONCATENATE("(",INPUT!S32,")"))</f>
        <v/>
      </c>
      <c r="S20" s="358" t="str">
        <f>IF(INPUT!T32="","",CONCATENATE("(",INPUT!T32,")"))</f>
        <v/>
      </c>
      <c r="T20" s="358" t="str">
        <f>IF(INPUT!U32="","",CONCATENATE("(",INPUT!U32,")"))</f>
        <v/>
      </c>
      <c r="U20" s="358" t="str">
        <f>IF(INPUT!V32="","",CONCATENATE("(",INPUT!V32,")"))</f>
        <v/>
      </c>
      <c r="V20" s="615"/>
    </row>
    <row r="21" spans="1:22" s="355" customFormat="1" ht="11.1" hidden="1" customHeight="1" x14ac:dyDescent="0.2">
      <c r="A21" s="354" t="s">
        <v>57</v>
      </c>
      <c r="B21" s="349">
        <f>IF(ISERROR('Oper.St.'!C67),"",IF('Oper.St.'!C67=0,"",'Oper.St.'!C67))</f>
        <v>0.67</v>
      </c>
      <c r="C21" s="349">
        <f>IF(ISERROR('Oper.St.'!D67),"",IF('Oper.St.'!D67=0,"",'Oper.St.'!D67))</f>
        <v>0.9</v>
      </c>
      <c r="D21" s="349">
        <f>IF(ISERROR('Oper.St.'!E67),"",IF('Oper.St.'!E67=0,"",'Oper.St.'!E67))</f>
        <v>1.75</v>
      </c>
      <c r="E21" s="349">
        <f>IF(ISERROR('Oper.St.'!F67),"",IF('Oper.St.'!F67=0,"",'Oper.St.'!F67))</f>
        <v>3.2</v>
      </c>
      <c r="F21" s="349">
        <f>IF(ISERROR('Oper.St.'!G67),"",IF('Oper.St.'!G67=0,"",'Oper.St.'!G67))</f>
        <v>6.41</v>
      </c>
      <c r="G21" s="349">
        <f>IF(ISERROR('Oper.St.'!H67),"",IF('Oper.St.'!H67=0,"",'Oper.St.'!H67))</f>
        <v>8.5200000000000014</v>
      </c>
      <c r="H21" s="349">
        <f>IF(ISERROR('Oper.St.'!I67),"",IF('Oper.St.'!I67=0,"",'Oper.St.'!I67))</f>
        <v>9.75</v>
      </c>
      <c r="I21" s="349">
        <f>IF(ISERROR('Oper.St.'!J67),"",IF('Oper.St.'!J67=0,"",'Oper.St.'!J67))</f>
        <v>10.850000000000001</v>
      </c>
      <c r="J21" s="349">
        <f>IF(ISERROR('Oper.St.'!K67),"",IF('Oper.St.'!K67=0,"",'Oper.St.'!K67))</f>
        <v>12.120000000000001</v>
      </c>
      <c r="K21" s="349">
        <f>IF(ISERROR('Oper.St.'!L67),"",IF('Oper.St.'!L67=0,"",'Oper.St.'!L67))</f>
        <v>13.59</v>
      </c>
      <c r="L21" s="349">
        <f>IF(ISERROR('Oper.St.'!M67),"",IF('Oper.St.'!M67=0,"",'Oper.St.'!M67))</f>
        <v>15.15</v>
      </c>
      <c r="M21" s="349" t="str">
        <f>IF(ISERROR('Oper.St.'!N67),"",IF('Oper.St.'!N67=0,"",'Oper.St.'!N67))</f>
        <v/>
      </c>
      <c r="N21" s="349" t="str">
        <f>IF(ISERROR('Oper.St.'!O67),"",IF('Oper.St.'!O67=0,"",'Oper.St.'!O67))</f>
        <v/>
      </c>
      <c r="O21" s="349" t="str">
        <f>IF(ISERROR('Oper.St.'!P67),"",IF('Oper.St.'!P67=0,"",'Oper.St.'!P67))</f>
        <v/>
      </c>
      <c r="P21" s="349" t="str">
        <f>IF(ISERROR('Oper.St.'!Q67),"",IF('Oper.St.'!Q67=0,"",'Oper.St.'!Q67))</f>
        <v/>
      </c>
      <c r="Q21" s="349" t="str">
        <f>IF(ISERROR('Oper.St.'!R67),"",IF('Oper.St.'!R67=0,"",'Oper.St.'!R67))</f>
        <v/>
      </c>
      <c r="R21" s="349" t="str">
        <f>IF(ISERROR('Oper.St.'!S67),"",IF('Oper.St.'!S67=0,"",'Oper.St.'!S67))</f>
        <v/>
      </c>
      <c r="S21" s="349" t="str">
        <f>IF(ISERROR('Oper.St.'!T67),"",IF('Oper.St.'!T67=0,"",'Oper.St.'!T67))</f>
        <v/>
      </c>
      <c r="T21" s="349" t="str">
        <f>IF(ISERROR('Oper.St.'!U67),"",IF('Oper.St.'!U67=0,"",'Oper.St.'!U67))</f>
        <v/>
      </c>
      <c r="U21" s="349" t="str">
        <f>IF(ISERROR('Oper.St.'!V67),"",IF('Oper.St.'!V67=0,"",'Oper.St.'!V67))</f>
        <v/>
      </c>
      <c r="V21" s="615"/>
    </row>
    <row r="22" spans="1:22" s="355" customFormat="1" ht="11.1" hidden="1" customHeight="1" x14ac:dyDescent="0.2">
      <c r="A22" s="356"/>
      <c r="B22" s="358" t="str">
        <f>IF(INPUT!C33="","",CONCATENATE("(",INPUT!C33,")"))</f>
        <v/>
      </c>
      <c r="C22" s="358" t="str">
        <f>IF(INPUT!D33="","",CONCATENATE("(",INPUT!D33,")"))</f>
        <v/>
      </c>
      <c r="D22" s="358" t="str">
        <f>IF(INPUT!E33="","",CONCATENATE("(",INPUT!E33,")"))</f>
        <v/>
      </c>
      <c r="E22" s="358" t="str">
        <f>IF(INPUT!F33="","",CONCATENATE("(",INPUT!F33,")"))</f>
        <v/>
      </c>
      <c r="F22" s="358" t="str">
        <f>IF(INPUT!G33="","",CONCATENATE("(",INPUT!G33,")"))</f>
        <v/>
      </c>
      <c r="G22" s="358" t="str">
        <f>IF(INPUT!H33="","",CONCATENATE("(",INPUT!H33,")"))</f>
        <v/>
      </c>
      <c r="H22" s="358" t="str">
        <f>IF(INPUT!I33="","",CONCATENATE("(",INPUT!I33,")"))</f>
        <v/>
      </c>
      <c r="I22" s="358" t="str">
        <f>IF(INPUT!J33="","",CONCATENATE("(",INPUT!J33,")"))</f>
        <v/>
      </c>
      <c r="J22" s="358" t="str">
        <f>IF(INPUT!K33="","",CONCATENATE("(",INPUT!K33,")"))</f>
        <v/>
      </c>
      <c r="K22" s="358" t="str">
        <f>IF(INPUT!L33="","",CONCATENATE("(",INPUT!L33,")"))</f>
        <v/>
      </c>
      <c r="L22" s="358" t="str">
        <f>IF(INPUT!M33="","",CONCATENATE("(",INPUT!M33,")"))</f>
        <v/>
      </c>
      <c r="M22" s="358" t="str">
        <f>IF(INPUT!N33="","",CONCATENATE("(",INPUT!N33,")"))</f>
        <v/>
      </c>
      <c r="N22" s="358" t="str">
        <f>IF(INPUT!O33="","",CONCATENATE("(",INPUT!O33,")"))</f>
        <v/>
      </c>
      <c r="O22" s="358" t="str">
        <f>IF(INPUT!P33="","",CONCATENATE("(",INPUT!P33,")"))</f>
        <v/>
      </c>
      <c r="P22" s="358" t="str">
        <f>IF(INPUT!Q33="","",CONCATENATE("(",INPUT!Q33,")"))</f>
        <v/>
      </c>
      <c r="Q22" s="358" t="str">
        <f>IF(INPUT!R33="","",CONCATENATE("(",INPUT!R33,")"))</f>
        <v/>
      </c>
      <c r="R22" s="358" t="str">
        <f>IF(INPUT!S33="","",CONCATENATE("(",INPUT!S33,")"))</f>
        <v/>
      </c>
      <c r="S22" s="358" t="str">
        <f>IF(INPUT!T33="","",CONCATENATE("(",INPUT!T33,")"))</f>
        <v/>
      </c>
      <c r="T22" s="358" t="str">
        <f>IF(INPUT!U33="","",CONCATENATE("(",INPUT!U33,")"))</f>
        <v/>
      </c>
      <c r="U22" s="358" t="str">
        <f>IF(INPUT!V33="","",CONCATENATE("(",INPUT!V33,")"))</f>
        <v/>
      </c>
      <c r="V22" s="615"/>
    </row>
    <row r="23" spans="1:22" s="355" customFormat="1" ht="11.1" hidden="1" customHeight="1" x14ac:dyDescent="0.2">
      <c r="A23" s="354" t="s">
        <v>329</v>
      </c>
      <c r="B23" s="349" t="str">
        <f>IF(ISERROR('Oper.St.'!C73),"",IF('Oper.St.'!C73=0,"",'Oper.St.'!C73))</f>
        <v/>
      </c>
      <c r="C23" s="349" t="str">
        <f>IF(ISERROR('Oper.St.'!D73),"",IF('Oper.St.'!D73=0,"",'Oper.St.'!D73))</f>
        <v/>
      </c>
      <c r="D23" s="349">
        <f>IF(ISERROR('Oper.St.'!E73),"",IF('Oper.St.'!E73=0,"",'Oper.St.'!E73))</f>
        <v>0.05</v>
      </c>
      <c r="E23" s="349">
        <f>IF(ISERROR('Oper.St.'!F73),"",IF('Oper.St.'!F73=0,"",'Oper.St.'!F73))</f>
        <v>0.47</v>
      </c>
      <c r="F23" s="349">
        <f>IF(ISERROR('Oper.St.'!G73),"",IF('Oper.St.'!G73=0,"",'Oper.St.'!G73))</f>
        <v>0.91</v>
      </c>
      <c r="G23" s="349">
        <f>IF(ISERROR('Oper.St.'!H73),"",IF('Oper.St.'!H73=0,"",'Oper.St.'!H73))</f>
        <v>1.1492750000000003</v>
      </c>
      <c r="H23" s="349">
        <f>IF(ISERROR('Oper.St.'!I73),"",IF('Oper.St.'!I73=0,"",'Oper.St.'!I73))</f>
        <v>0.96513000000000082</v>
      </c>
      <c r="I23" s="349">
        <f>IF(ISERROR('Oper.St.'!J73),"",IF('Oper.St.'!J73=0,"",'Oper.St.'!J73))</f>
        <v>0.83753250000000101</v>
      </c>
      <c r="J23" s="349">
        <f>IF(ISERROR('Oper.St.'!K73),"",IF('Oper.St.'!K73=0,"",'Oper.St.'!K73))</f>
        <v>0.681315000000001</v>
      </c>
      <c r="K23" s="349">
        <f>IF(ISERROR('Oper.St.'!L73),"",IF('Oper.St.'!L73=0,"",'Oper.St.'!L73))</f>
        <v>0.50085000000000091</v>
      </c>
      <c r="L23" s="349">
        <f>IF(ISERROR('Oper.St.'!M73),"",IF('Oper.St.'!M73=0,"",'Oper.St.'!M73))</f>
        <v>0.28818750000000093</v>
      </c>
      <c r="M23" s="349" t="str">
        <f>IF(ISERROR('Oper.St.'!N73),"",IF('Oper.St.'!N73=0,"",'Oper.St.'!N73))</f>
        <v/>
      </c>
      <c r="N23" s="349" t="str">
        <f>IF(ISERROR('Oper.St.'!O73),"",IF('Oper.St.'!O73=0,"",'Oper.St.'!O73))</f>
        <v/>
      </c>
      <c r="O23" s="349" t="str">
        <f>IF(ISERROR('Oper.St.'!P73),"",IF('Oper.St.'!P73=0,"",'Oper.St.'!P73))</f>
        <v/>
      </c>
      <c r="P23" s="349" t="str">
        <f>IF(ISERROR('Oper.St.'!Q73),"",IF('Oper.St.'!Q73=0,"",'Oper.St.'!Q73))</f>
        <v/>
      </c>
      <c r="Q23" s="349" t="str">
        <f>IF(ISERROR('Oper.St.'!R73),"",IF('Oper.St.'!R73=0,"",'Oper.St.'!R73))</f>
        <v/>
      </c>
      <c r="R23" s="349" t="str">
        <f>IF(ISERROR('Oper.St.'!S73),"",IF('Oper.St.'!S73=0,"",'Oper.St.'!S73))</f>
        <v/>
      </c>
      <c r="S23" s="349" t="str">
        <f>IF(ISERROR('Oper.St.'!T73),"",IF('Oper.St.'!T73=0,"",'Oper.St.'!T73))</f>
        <v/>
      </c>
      <c r="T23" s="349" t="str">
        <f>IF(ISERROR('Oper.St.'!U73),"",IF('Oper.St.'!U73=0,"",'Oper.St.'!U73))</f>
        <v/>
      </c>
      <c r="U23" s="349" t="str">
        <f>IF(ISERROR('Oper.St.'!V73),"",IF('Oper.St.'!V73=0,"",'Oper.St.'!V73))</f>
        <v/>
      </c>
      <c r="V23" s="615"/>
    </row>
    <row r="24" spans="1:22" s="355" customFormat="1" ht="11.1" hidden="1" customHeight="1" x14ac:dyDescent="0.2">
      <c r="A24" s="356"/>
      <c r="B24" s="358" t="str">
        <f>IF(INPUT!C34="","",CONCATENATE("(",INPUT!C34,")"))</f>
        <v/>
      </c>
      <c r="C24" s="358" t="str">
        <f>IF(INPUT!D34="","",CONCATENATE("(",INPUT!D34,")"))</f>
        <v/>
      </c>
      <c r="D24" s="358" t="str">
        <f>IF(INPUT!E34="","",CONCATENATE("(",INPUT!E34,")"))</f>
        <v/>
      </c>
      <c r="E24" s="358" t="str">
        <f>IF(INPUT!F34="","",CONCATENATE("(",INPUT!F34,")"))</f>
        <v/>
      </c>
      <c r="F24" s="358" t="str">
        <f>IF(INPUT!G34="","",CONCATENATE("(",INPUT!G34,")"))</f>
        <v/>
      </c>
      <c r="G24" s="358" t="str">
        <f>IF(INPUT!H34="","",CONCATENATE("(",INPUT!H34,")"))</f>
        <v/>
      </c>
      <c r="H24" s="358" t="str">
        <f>IF(INPUT!I34="","",CONCATENATE("(",INPUT!I34,")"))</f>
        <v/>
      </c>
      <c r="I24" s="358" t="str">
        <f>IF(INPUT!J34="","",CONCATENATE("(",INPUT!J34,")"))</f>
        <v/>
      </c>
      <c r="J24" s="358" t="str">
        <f>IF(INPUT!K34="","",CONCATENATE("(",INPUT!K34,")"))</f>
        <v/>
      </c>
      <c r="K24" s="358" t="str">
        <f>IF(INPUT!L34="","",CONCATENATE("(",INPUT!L34,")"))</f>
        <v/>
      </c>
      <c r="L24" s="358" t="str">
        <f>IF(INPUT!M34="","",CONCATENATE("(",INPUT!M34,")"))</f>
        <v/>
      </c>
      <c r="M24" s="358" t="str">
        <f>IF(INPUT!N34="","",CONCATENATE("(",INPUT!N34,")"))</f>
        <v/>
      </c>
      <c r="N24" s="358" t="str">
        <f>IF(INPUT!O34="","",CONCATENATE("(",INPUT!O34,")"))</f>
        <v/>
      </c>
      <c r="O24" s="358" t="str">
        <f>IF(INPUT!P34="","",CONCATENATE("(",INPUT!P34,")"))</f>
        <v/>
      </c>
      <c r="P24" s="358" t="str">
        <f>IF(INPUT!Q34="","",CONCATENATE("(",INPUT!Q34,")"))</f>
        <v/>
      </c>
      <c r="Q24" s="358" t="str">
        <f>IF(INPUT!R34="","",CONCATENATE("(",INPUT!R34,")"))</f>
        <v/>
      </c>
      <c r="R24" s="358" t="str">
        <f>IF(INPUT!S34="","",CONCATENATE("(",INPUT!S34,")"))</f>
        <v/>
      </c>
      <c r="S24" s="358" t="str">
        <f>IF(INPUT!T34="","",CONCATENATE("(",INPUT!T34,")"))</f>
        <v/>
      </c>
      <c r="T24" s="358" t="str">
        <f>IF(INPUT!U34="","",CONCATENATE("(",INPUT!U34,")"))</f>
        <v/>
      </c>
      <c r="U24" s="358" t="str">
        <f>IF(INPUT!V34="","",CONCATENATE("(",INPUT!V34,")"))</f>
        <v/>
      </c>
      <c r="V24" s="615"/>
    </row>
    <row r="25" spans="1:22" s="355" customFormat="1" ht="11.1" customHeight="1" x14ac:dyDescent="0.2">
      <c r="A25" s="354" t="s">
        <v>56</v>
      </c>
      <c r="B25" s="349">
        <f>IF(ISERROR('Oper.St.'!C75),"",IF('Oper.St.'!C75=0,"",'Oper.St.'!C75))</f>
        <v>9.9999999999999978E-2</v>
      </c>
      <c r="C25" s="349">
        <f>IF(ISERROR('Oper.St.'!D75),"",IF('Oper.St.'!D75=0,"",'Oper.St.'!D75))</f>
        <v>0.13</v>
      </c>
      <c r="D25" s="349">
        <f>IF(ISERROR('Oper.St.'!E75),"",IF('Oper.St.'!E75=0,"",'Oper.St.'!E75))</f>
        <v>0.38000000000000017</v>
      </c>
      <c r="E25" s="349">
        <f>IF(ISERROR('Oper.St.'!F75),"",IF('Oper.St.'!F75=0,"",'Oper.St.'!F75))</f>
        <v>0.30999999999999983</v>
      </c>
      <c r="F25" s="349">
        <f>IF(ISERROR('Oper.St.'!G75),"",IF('Oper.St.'!G75=0,"",'Oper.St.'!G75))</f>
        <v>0.8200000000000004</v>
      </c>
      <c r="G25" s="349">
        <f>IF(ISERROR('Oper.St.'!H75),"",IF('Oper.St.'!H75=0,"",'Oper.St.'!H75))</f>
        <v>1.7307250000000023</v>
      </c>
      <c r="H25" s="349">
        <f>IF(ISERROR('Oper.St.'!I75),"",IF('Oper.St.'!I75=0,"",'Oper.St.'!I75))</f>
        <v>2.3448700000000016</v>
      </c>
      <c r="I25" s="349">
        <f>IF(ISERROR('Oper.St.'!J75),"",IF('Oper.St.'!J75=0,"",'Oper.St.'!J75))</f>
        <v>2.6224675</v>
      </c>
      <c r="J25" s="349">
        <f>IF(ISERROR('Oper.St.'!K75),"",IF('Oper.St.'!K75=0,"",'Oper.St.'!K75))</f>
        <v>2.8786849999999942</v>
      </c>
      <c r="K25" s="349">
        <f>IF(ISERROR('Oper.St.'!L75),"",IF('Oper.St.'!L75=0,"",'Oper.St.'!L75))</f>
        <v>3.169150000000001</v>
      </c>
      <c r="L25" s="349">
        <f>IF(ISERROR('Oper.St.'!M75),"",IF('Oper.St.'!M75=0,"",'Oper.St.'!M75))</f>
        <v>3.6418124999999986</v>
      </c>
      <c r="M25" s="349" t="str">
        <f>IF(ISERROR('Oper.St.'!N75),"",IF('Oper.St.'!N75=0,"",'Oper.St.'!N75))</f>
        <v/>
      </c>
      <c r="N25" s="349" t="str">
        <f>IF(ISERROR('Oper.St.'!O75),"",IF('Oper.St.'!O75=0,"",'Oper.St.'!O75))</f>
        <v/>
      </c>
      <c r="O25" s="349" t="str">
        <f>IF(ISERROR('Oper.St.'!P75),"",IF('Oper.St.'!P75=0,"",'Oper.St.'!P75))</f>
        <v/>
      </c>
      <c r="P25" s="349" t="str">
        <f>IF(ISERROR('Oper.St.'!Q75),"",IF('Oper.St.'!Q75=0,"",'Oper.St.'!Q75))</f>
        <v/>
      </c>
      <c r="Q25" s="349" t="str">
        <f>IF(ISERROR('Oper.St.'!R75),"",IF('Oper.St.'!R75=0,"",'Oper.St.'!R75))</f>
        <v/>
      </c>
      <c r="R25" s="349" t="str">
        <f>IF(ISERROR('Oper.St.'!S75),"",IF('Oper.St.'!S75=0,"",'Oper.St.'!S75))</f>
        <v/>
      </c>
      <c r="S25" s="349" t="str">
        <f>IF(ISERROR('Oper.St.'!T75),"",IF('Oper.St.'!T75=0,"",'Oper.St.'!T75))</f>
        <v/>
      </c>
      <c r="T25" s="349" t="str">
        <f>IF(ISERROR('Oper.St.'!U75),"",IF('Oper.St.'!U75=0,"",'Oper.St.'!U75))</f>
        <v/>
      </c>
      <c r="U25" s="349" t="str">
        <f>IF(ISERROR('Oper.St.'!V75),"",IF('Oper.St.'!V75=0,"",'Oper.St.'!V75))</f>
        <v/>
      </c>
      <c r="V25" s="615"/>
    </row>
    <row r="26" spans="1:22" s="355" customFormat="1" ht="11.1" customHeight="1" x14ac:dyDescent="0.2">
      <c r="A26" s="356"/>
      <c r="B26" s="358" t="str">
        <f>IF(INPUT!C35="","",CONCATENATE("(",INPUT!C35,")"))</f>
        <v/>
      </c>
      <c r="C26" s="358" t="str">
        <f>IF(INPUT!D35="","",CONCATENATE("(",INPUT!D35,")"))</f>
        <v/>
      </c>
      <c r="D26" s="358" t="str">
        <f>IF(INPUT!E35="","",CONCATENATE("(",INPUT!E35,")"))</f>
        <v/>
      </c>
      <c r="E26" s="358" t="str">
        <f>IF(INPUT!F35="","",CONCATENATE("(",INPUT!F35,")"))</f>
        <v/>
      </c>
      <c r="F26" s="358" t="str">
        <f>IF(INPUT!G35="","",CONCATENATE("(",INPUT!G35,")"))</f>
        <v/>
      </c>
      <c r="G26" s="358" t="str">
        <f>IF(INPUT!H35="","",CONCATENATE("(",INPUT!H35,")"))</f>
        <v/>
      </c>
      <c r="H26" s="358" t="str">
        <f>IF(INPUT!I35="","",CONCATENATE("(",INPUT!I35,")"))</f>
        <v/>
      </c>
      <c r="I26" s="358" t="str">
        <f>IF(INPUT!J35="","",CONCATENATE("(",INPUT!J35,")"))</f>
        <v/>
      </c>
      <c r="J26" s="358" t="str">
        <f>IF(INPUT!K35="","",CONCATENATE("(",INPUT!K35,")"))</f>
        <v/>
      </c>
      <c r="K26" s="358" t="str">
        <f>IF(INPUT!L35="","",CONCATENATE("(",INPUT!L35,")"))</f>
        <v/>
      </c>
      <c r="L26" s="358" t="str">
        <f>IF(INPUT!M35="","",CONCATENATE("(",INPUT!M35,")"))</f>
        <v/>
      </c>
      <c r="M26" s="358" t="str">
        <f>IF(INPUT!N35="","",CONCATENATE("(",INPUT!N35,")"))</f>
        <v/>
      </c>
      <c r="N26" s="358" t="str">
        <f>IF(INPUT!O35="","",CONCATENATE("(",INPUT!O35,")"))</f>
        <v/>
      </c>
      <c r="O26" s="358" t="str">
        <f>IF(INPUT!P35="","",CONCATENATE("(",INPUT!P35,")"))</f>
        <v/>
      </c>
      <c r="P26" s="358" t="str">
        <f>IF(INPUT!Q35="","",CONCATENATE("(",INPUT!Q35,")"))</f>
        <v/>
      </c>
      <c r="Q26" s="358" t="str">
        <f>IF(INPUT!R35="","",CONCATENATE("(",INPUT!R35,")"))</f>
        <v/>
      </c>
      <c r="R26" s="358" t="str">
        <f>IF(INPUT!S35="","",CONCATENATE("(",INPUT!S35,")"))</f>
        <v/>
      </c>
      <c r="S26" s="358" t="str">
        <f>IF(INPUT!T35="","",CONCATENATE("(",INPUT!T35,")"))</f>
        <v/>
      </c>
      <c r="T26" s="358" t="str">
        <f>IF(INPUT!U35="","",CONCATENATE("(",INPUT!U35,")"))</f>
        <v/>
      </c>
      <c r="U26" s="358" t="str">
        <f>IF(INPUT!V35="","",CONCATENATE("(",INPUT!V35,")"))</f>
        <v/>
      </c>
      <c r="V26" s="615"/>
    </row>
    <row r="27" spans="1:22" s="355" customFormat="1" ht="11.1" customHeight="1" x14ac:dyDescent="0.2">
      <c r="A27" s="354" t="s">
        <v>896</v>
      </c>
      <c r="B27" s="349">
        <f>IF(ISERROR(Asset!C93),"",IF(Asset!C93=0,"",Asset!C93))</f>
        <v>0.28000000000000003</v>
      </c>
      <c r="C27" s="349">
        <f>IF(ISERROR(Asset!D93),"",IF(Asset!D93=0,"",Asset!D93))</f>
        <v>0.44000000000000006</v>
      </c>
      <c r="D27" s="349">
        <f>IF(ISERROR(Asset!E93),"",IF(Asset!E93=0,"",Asset!E93))</f>
        <v>4.8499999999999996</v>
      </c>
      <c r="E27" s="349">
        <f>IF(ISERROR(Asset!F93),"",IF(Asset!F93=0,"",Asset!F93))</f>
        <v>15.25</v>
      </c>
      <c r="F27" s="349">
        <f>IF(ISERROR(Asset!G93),"",IF(Asset!G93=0,"",Asset!G93))</f>
        <v>26.81</v>
      </c>
      <c r="G27" s="349">
        <f>IF(ISERROR(Asset!H93),"",IF(Asset!H93=0,"",Asset!H93))</f>
        <v>27.494913125</v>
      </c>
      <c r="H27" s="349">
        <f>IF(ISERROR(Asset!I93),"",IF(Asset!I93=0,"",Asset!I93))</f>
        <v>27.863095749999999</v>
      </c>
      <c r="I27" s="349">
        <f>IF(ISERROR(Asset!J93),"",IF(Asset!J93=0,"",Asset!J93))</f>
        <v>27.445555187500002</v>
      </c>
      <c r="J27" s="349">
        <f>IF(ISERROR(Asset!K93),"",IF(Asset!K93=0,"",Asset!K93))</f>
        <v>27.123204125000001</v>
      </c>
      <c r="K27" s="349">
        <f>IF(ISERROR(Asset!L93),"",IF(Asset!L93=0,"",Asset!L93))</f>
        <v>26.783058750000002</v>
      </c>
      <c r="L27" s="349">
        <f>IF(ISERROR(Asset!M93),"",IF(Asset!M93=0,"",Asset!M93))</f>
        <v>26.239407812500005</v>
      </c>
      <c r="M27" s="349" t="str">
        <f>IF(ISERROR(Asset!N93),"",IF(Asset!N93=0,"",Asset!N93))</f>
        <v/>
      </c>
      <c r="N27" s="349" t="str">
        <f>IF(ISERROR(Asset!O93),"",IF(Asset!O93=0,"",Asset!O93))</f>
        <v/>
      </c>
      <c r="O27" s="349" t="str">
        <f>IF(ISERROR(Asset!P93),"",IF(Asset!P93=0,"",Asset!P93))</f>
        <v/>
      </c>
      <c r="P27" s="349" t="str">
        <f>IF(ISERROR(Asset!Q93),"",IF(Asset!Q93=0,"",Asset!Q93))</f>
        <v/>
      </c>
      <c r="Q27" s="349" t="str">
        <f>IF(ISERROR(Asset!R93),"",IF(Asset!R93=0,"",Asset!R93))</f>
        <v/>
      </c>
      <c r="R27" s="349" t="str">
        <f>IF(ISERROR(Asset!S93),"",IF(Asset!S93=0,"",Asset!S93))</f>
        <v/>
      </c>
      <c r="S27" s="349" t="str">
        <f>IF(ISERROR(Asset!T93),"",IF(Asset!T93=0,"",Asset!T93))</f>
        <v/>
      </c>
      <c r="T27" s="349" t="str">
        <f>IF(ISERROR(Asset!U93),"",IF(Asset!U93=0,"",Asset!U93))</f>
        <v/>
      </c>
      <c r="U27" s="349" t="str">
        <f>IF(ISERROR(Asset!V93),"",IF(Asset!V93=0,"",Asset!V93))</f>
        <v/>
      </c>
      <c r="V27" s="615"/>
    </row>
    <row r="28" spans="1:22" s="361" customFormat="1" ht="11.1" customHeight="1" x14ac:dyDescent="0.2">
      <c r="A28" s="362"/>
      <c r="B28" s="358" t="str">
        <f>IF(INPUT!C54="","",CONCATENATE("(",INPUT!C54,")"))</f>
        <v/>
      </c>
      <c r="C28" s="358" t="str">
        <f>IF(INPUT!D54="","",CONCATENATE("(",INPUT!D54,")"))</f>
        <v/>
      </c>
      <c r="D28" s="358" t="str">
        <f>IF(INPUT!E54="","",CONCATENATE("(",INPUT!E54,")"))</f>
        <v/>
      </c>
      <c r="E28" s="358" t="str">
        <f>IF(INPUT!F54="","",CONCATENATE("(",INPUT!F54,")"))</f>
        <v/>
      </c>
      <c r="F28" s="358" t="str">
        <f>IF(INPUT!G54="","",CONCATENATE("(",INPUT!G54,")"))</f>
        <v/>
      </c>
      <c r="G28" s="358" t="str">
        <f>IF(INPUT!H54="","",CONCATENATE("(",INPUT!H54,")"))</f>
        <v/>
      </c>
      <c r="H28" s="358" t="str">
        <f>IF(INPUT!I54="","",CONCATENATE("(",INPUT!I54,")"))</f>
        <v/>
      </c>
      <c r="I28" s="358" t="str">
        <f>IF(INPUT!J54="","",CONCATENATE("(",INPUT!J54,")"))</f>
        <v/>
      </c>
      <c r="J28" s="358" t="str">
        <f>IF(INPUT!K54="","",CONCATENATE("(",INPUT!K54,")"))</f>
        <v/>
      </c>
      <c r="K28" s="358" t="str">
        <f>IF(INPUT!L54="","",CONCATENATE("(",INPUT!L54,")"))</f>
        <v/>
      </c>
      <c r="L28" s="358" t="str">
        <f>IF(INPUT!M54="","",CONCATENATE("(",INPUT!M54,")"))</f>
        <v/>
      </c>
      <c r="M28" s="358" t="str">
        <f>IF(INPUT!N54="","",CONCATENATE("(",INPUT!N54,")"))</f>
        <v/>
      </c>
      <c r="N28" s="358" t="str">
        <f>IF(INPUT!O54="","",CONCATENATE("(",INPUT!O54,")"))</f>
        <v/>
      </c>
      <c r="O28" s="358" t="str">
        <f>IF(INPUT!P54="","",CONCATENATE("(",INPUT!P54,")"))</f>
        <v/>
      </c>
      <c r="P28" s="358" t="str">
        <f>IF(INPUT!Q54="","",CONCATENATE("(",INPUT!Q54,")"))</f>
        <v/>
      </c>
      <c r="Q28" s="358" t="str">
        <f>IF(INPUT!R54="","",CONCATENATE("(",INPUT!R54,")"))</f>
        <v/>
      </c>
      <c r="R28" s="358" t="str">
        <f>IF(INPUT!S54="","",CONCATENATE("(",INPUT!S54,")"))</f>
        <v/>
      </c>
      <c r="S28" s="358" t="str">
        <f>IF(INPUT!T54="","",CONCATENATE("(",INPUT!T54,")"))</f>
        <v/>
      </c>
      <c r="T28" s="358" t="str">
        <f>IF(INPUT!U54="","",CONCATENATE("(",INPUT!U54,")"))</f>
        <v/>
      </c>
      <c r="U28" s="358" t="str">
        <f>IF(INPUT!V54="","",CONCATENATE("(",INPUT!V54,")"))</f>
        <v/>
      </c>
      <c r="V28" s="616"/>
    </row>
    <row r="29" spans="1:22" s="355" customFormat="1" ht="11.1" customHeight="1" x14ac:dyDescent="0.2">
      <c r="A29" s="354" t="s">
        <v>418</v>
      </c>
      <c r="B29" s="349">
        <f>IF(ISERROR(Asset!C51),"",IF(Asset!C51=0,"",Asset!C51))</f>
        <v>0.21000000000000002</v>
      </c>
      <c r="C29" s="349">
        <f>IF(ISERROR(Asset!D51),"",IF(Asset!D51=0,"",Asset!D51))</f>
        <v>0.37000000000000005</v>
      </c>
      <c r="D29" s="349">
        <f>IF(ISERROR(Asset!E51),"",IF(Asset!E51=0,"",Asset!E51))</f>
        <v>0.69</v>
      </c>
      <c r="E29" s="349">
        <f>IF(ISERROR(Asset!F51),"",IF(Asset!F51=0,"",Asset!F51))</f>
        <v>1.0699999999999998</v>
      </c>
      <c r="F29" s="349">
        <f>IF(ISERROR(Asset!G51),"",IF(Asset!G51=0,"",Asset!G51))</f>
        <v>6.3599999999999994</v>
      </c>
      <c r="G29" s="349">
        <f>IF(ISERROR(Asset!H51),"",IF(Asset!H51=0,"",Asset!H51))</f>
        <v>9.5449131250000008</v>
      </c>
      <c r="H29" s="349">
        <f>IF(ISERROR(Asset!I51),"",IF(Asset!I51=0,"",Asset!I51))</f>
        <v>12.09309575</v>
      </c>
      <c r="I29" s="349">
        <f>IF(ISERROR(Asset!J51),"",IF(Asset!J51=0,"",Asset!J51))</f>
        <v>13.575555187500001</v>
      </c>
      <c r="J29" s="349">
        <f>IF(ISERROR(Asset!K51),"",IF(Asset!K51=0,"",Asset!K51))</f>
        <v>14.913204124999998</v>
      </c>
      <c r="K29" s="349">
        <f>IF(ISERROR(Asset!L51),"",IF(Asset!L51=0,"",Asset!L51))</f>
        <v>16.003058750000001</v>
      </c>
      <c r="L29" s="349">
        <f>IF(ISERROR(Asset!M51),"",IF(Asset!M51=0,"",Asset!M51))</f>
        <v>16.699407812500002</v>
      </c>
      <c r="M29" s="349" t="str">
        <f>IF(ISERROR(Asset!N51),"",IF(Asset!N51=0,"",Asset!N51))</f>
        <v/>
      </c>
      <c r="N29" s="349" t="str">
        <f>IF(ISERROR(Asset!O51),"",IF(Asset!O51=0,"",Asset!O51))</f>
        <v/>
      </c>
      <c r="O29" s="349" t="str">
        <f>IF(ISERROR(Asset!P51),"",IF(Asset!P51=0,"",Asset!P51))</f>
        <v/>
      </c>
      <c r="P29" s="349" t="str">
        <f>IF(ISERROR(Asset!Q51),"",IF(Asset!Q51=0,"",Asset!Q51))</f>
        <v/>
      </c>
      <c r="Q29" s="349" t="str">
        <f>IF(ISERROR(Asset!R51),"",IF(Asset!R51=0,"",Asset!R51))</f>
        <v/>
      </c>
      <c r="R29" s="349" t="str">
        <f>IF(ISERROR(Asset!S51),"",IF(Asset!S51=0,"",Asset!S51))</f>
        <v/>
      </c>
      <c r="S29" s="349" t="str">
        <f>IF(ISERROR(Asset!T51),"",IF(Asset!T51=0,"",Asset!T51))</f>
        <v/>
      </c>
      <c r="T29" s="349" t="str">
        <f>IF(ISERROR(Asset!U51),"",IF(Asset!U51=0,"",Asset!U51))</f>
        <v/>
      </c>
      <c r="U29" s="349" t="str">
        <f>IF(ISERROR(Asset!V51),"",IF(Asset!V51=0,"",Asset!V51))</f>
        <v/>
      </c>
      <c r="V29" s="615"/>
    </row>
    <row r="30" spans="1:22" s="355" customFormat="1" ht="11.1" customHeight="1" x14ac:dyDescent="0.2">
      <c r="A30" s="356"/>
      <c r="B30" s="358" t="str">
        <f>IF(INPUT!C55="","",CONCATENATE("(",INPUT!C55,")"))</f>
        <v/>
      </c>
      <c r="C30" s="358" t="str">
        <f>IF(INPUT!D55="","",CONCATENATE("(",INPUT!D55,")"))</f>
        <v/>
      </c>
      <c r="D30" s="358" t="str">
        <f>IF(INPUT!E55="","",CONCATENATE("(",INPUT!E55,")"))</f>
        <v/>
      </c>
      <c r="E30" s="358" t="str">
        <f>IF(INPUT!F55="","",CONCATENATE("(",INPUT!F55,")"))</f>
        <v/>
      </c>
      <c r="F30" s="358" t="str">
        <f>IF(INPUT!G55="","",CONCATENATE("(",INPUT!G55,")"))</f>
        <v/>
      </c>
      <c r="G30" s="358" t="str">
        <f>IF(INPUT!H55="","",CONCATENATE("(",INPUT!H55,")"))</f>
        <v/>
      </c>
      <c r="H30" s="358" t="str">
        <f>IF(INPUT!I55="","",CONCATENATE("(",INPUT!I55,")"))</f>
        <v/>
      </c>
      <c r="I30" s="358" t="str">
        <f>IF(INPUT!J55="","",CONCATENATE("(",INPUT!J55,")"))</f>
        <v/>
      </c>
      <c r="J30" s="358" t="str">
        <f>IF(INPUT!K55="","",CONCATENATE("(",INPUT!K55,")"))</f>
        <v/>
      </c>
      <c r="K30" s="358" t="str">
        <f>IF(INPUT!L55="","",CONCATENATE("(",INPUT!L55,")"))</f>
        <v/>
      </c>
      <c r="L30" s="358" t="str">
        <f>IF(INPUT!M55="","",CONCATENATE("(",INPUT!M55,")"))</f>
        <v/>
      </c>
      <c r="M30" s="358" t="str">
        <f>IF(INPUT!N55="","",CONCATENATE("(",INPUT!N55,")"))</f>
        <v/>
      </c>
      <c r="N30" s="358" t="str">
        <f>IF(INPUT!O55="","",CONCATENATE("(",INPUT!O55,")"))</f>
        <v/>
      </c>
      <c r="O30" s="358" t="str">
        <f>IF(INPUT!P55="","",CONCATENATE("(",INPUT!P55,")"))</f>
        <v/>
      </c>
      <c r="P30" s="358" t="str">
        <f>IF(INPUT!Q55="","",CONCATENATE("(",INPUT!Q55,")"))</f>
        <v/>
      </c>
      <c r="Q30" s="358" t="str">
        <f>IF(INPUT!R55="","",CONCATENATE("(",INPUT!R55,")"))</f>
        <v/>
      </c>
      <c r="R30" s="358" t="str">
        <f>IF(INPUT!S55="","",CONCATENATE("(",INPUT!S55,")"))</f>
        <v/>
      </c>
      <c r="S30" s="358" t="str">
        <f>IF(INPUT!T55="","",CONCATENATE("(",INPUT!T55,")"))</f>
        <v/>
      </c>
      <c r="T30" s="358" t="str">
        <f>IF(INPUT!U55="","",CONCATENATE("(",INPUT!U55,")"))</f>
        <v/>
      </c>
      <c r="U30" s="358" t="str">
        <f>IF(INPUT!V55="","",CONCATENATE("(",INPUT!V55,")"))</f>
        <v/>
      </c>
      <c r="V30" s="615"/>
    </row>
    <row r="31" spans="1:22" s="355" customFormat="1" ht="11.1" customHeight="1" x14ac:dyDescent="0.2">
      <c r="A31" s="354" t="s">
        <v>897</v>
      </c>
      <c r="B31" s="349">
        <f>IF(ISERROR(Liab!C80),"",IF(Liab!C80=0,"",Liab!C80))</f>
        <v>0.2</v>
      </c>
      <c r="C31" s="349">
        <f>IF(ISERROR(Liab!D80),"",IF(Liab!D80=0,"",Liab!D80))</f>
        <v>0.27</v>
      </c>
      <c r="D31" s="349">
        <f>IF(ISERROR(Liab!E80),"",IF(Liab!E80=0,"",Liab!E80))</f>
        <v>4.41</v>
      </c>
      <c r="E31" s="349">
        <f>IF(ISERROR(Liab!F80),"",IF(Liab!F80=0,"",Liab!F80))</f>
        <v>6.6029999999999998</v>
      </c>
      <c r="F31" s="349">
        <f>IF(ISERROR(Liab!G80),"",IF(Liab!G80=0,"",Liab!G80))</f>
        <v>15.48</v>
      </c>
      <c r="G31" s="349">
        <f>IF(ISERROR(Liab!H80),"",IF(Liab!H80=0,"",Liab!H80))</f>
        <v>14.973217500000004</v>
      </c>
      <c r="H31" s="349">
        <f>IF(ISERROR(Liab!I80),"",IF(Liab!I80=0,"",Liab!I80))</f>
        <v>13.707461000000013</v>
      </c>
      <c r="I31" s="349">
        <f>IF(ISERROR(Liab!J80),"",IF(Liab!J80=0,"",Liab!J80))</f>
        <v>11.470740250000009</v>
      </c>
      <c r="J31" s="349">
        <f>IF(ISERROR(Liab!K80),"",IF(Liab!K80=0,"",Liab!K80))</f>
        <v>9.1476055000000116</v>
      </c>
      <c r="K31" s="349">
        <f>IF(ISERROR(Liab!L80),"",IF(Liab!L80=0,"",Liab!L80))</f>
        <v>6.5907450000000107</v>
      </c>
      <c r="L31" s="349">
        <f>IF(ISERROR(Liab!M80),"",IF(Liab!M80=0,"",Liab!M80))</f>
        <v>3.4925437499999994</v>
      </c>
      <c r="M31" s="349" t="str">
        <f>IF(ISERROR(Liab!N80),"",IF(Liab!N80=0,"",Liab!N80))</f>
        <v/>
      </c>
      <c r="N31" s="349" t="str">
        <f>IF(ISERROR(Liab!O80),"",IF(Liab!O80=0,"",Liab!O80))</f>
        <v/>
      </c>
      <c r="O31" s="349" t="str">
        <f>IF(ISERROR(Liab!P80),"",IF(Liab!P80=0,"",Liab!P80))</f>
        <v/>
      </c>
      <c r="P31" s="349" t="str">
        <f>IF(ISERROR(Liab!Q80),"",IF(Liab!Q80=0,"",Liab!Q80))</f>
        <v/>
      </c>
      <c r="Q31" s="349" t="str">
        <f>IF(ISERROR(Liab!R80),"",IF(Liab!R80=0,"",Liab!R80))</f>
        <v/>
      </c>
      <c r="R31" s="349" t="str">
        <f>IF(ISERROR(Liab!S80),"",IF(Liab!S80=0,"",Liab!S80))</f>
        <v/>
      </c>
      <c r="S31" s="349" t="str">
        <f>IF(ISERROR(Liab!T80),"",IF(Liab!T80=0,"",Liab!T80))</f>
        <v/>
      </c>
      <c r="T31" s="349" t="str">
        <f>IF(ISERROR(Liab!U80),"",IF(Liab!U80=0,"",Liab!U80))</f>
        <v/>
      </c>
      <c r="U31" s="349" t="str">
        <f>IF(ISERROR(Liab!V80),"",IF(Liab!V80=0,"",Liab!V80))</f>
        <v/>
      </c>
      <c r="V31" s="615"/>
    </row>
    <row r="32" spans="1:22" s="361" customFormat="1" ht="11.1" customHeight="1" x14ac:dyDescent="0.2">
      <c r="A32" s="362"/>
      <c r="B32" s="358" t="str">
        <f>IF(INPUT!C56="","",CONCATENATE("(",INPUT!C56,")"))</f>
        <v/>
      </c>
      <c r="C32" s="358" t="str">
        <f>IF(INPUT!D56="","",CONCATENATE("(",INPUT!D56,")"))</f>
        <v/>
      </c>
      <c r="D32" s="358" t="str">
        <f>IF(INPUT!E56="","",CONCATENATE("(",INPUT!E56,")"))</f>
        <v/>
      </c>
      <c r="E32" s="358" t="str">
        <f>IF(INPUT!F56="","",CONCATENATE("(",INPUT!F56,")"))</f>
        <v/>
      </c>
      <c r="F32" s="358" t="str">
        <f>IF(INPUT!G56="","",CONCATENATE("(",INPUT!G56,")"))</f>
        <v/>
      </c>
      <c r="G32" s="358" t="str">
        <f>IF(INPUT!H56="","",CONCATENATE("(",INPUT!H56,")"))</f>
        <v/>
      </c>
      <c r="H32" s="358" t="str">
        <f>IF(INPUT!I56="","",CONCATENATE("(",INPUT!I56,")"))</f>
        <v/>
      </c>
      <c r="I32" s="358" t="str">
        <f>IF(INPUT!J56="","",CONCATENATE("(",INPUT!J56,")"))</f>
        <v/>
      </c>
      <c r="J32" s="358" t="str">
        <f>IF(INPUT!K56="","",CONCATENATE("(",INPUT!K56,")"))</f>
        <v/>
      </c>
      <c r="K32" s="358" t="str">
        <f>IF(INPUT!L56="","",CONCATENATE("(",INPUT!L56,")"))</f>
        <v/>
      </c>
      <c r="L32" s="358" t="str">
        <f>IF(INPUT!M56="","",CONCATENATE("(",INPUT!M56,")"))</f>
        <v/>
      </c>
      <c r="M32" s="358" t="str">
        <f>IF(INPUT!N56="","",CONCATENATE("(",INPUT!N56,")"))</f>
        <v/>
      </c>
      <c r="N32" s="358" t="str">
        <f>IF(INPUT!O56="","",CONCATENATE("(",INPUT!O56,")"))</f>
        <v/>
      </c>
      <c r="O32" s="358" t="str">
        <f>IF(INPUT!P56="","",CONCATENATE("(",INPUT!P56,")"))</f>
        <v/>
      </c>
      <c r="P32" s="358" t="str">
        <f>IF(INPUT!Q56="","",CONCATENATE("(",INPUT!Q56,")"))</f>
        <v/>
      </c>
      <c r="Q32" s="358" t="str">
        <f>IF(INPUT!R56="","",CONCATENATE("(",INPUT!R56,")"))</f>
        <v/>
      </c>
      <c r="R32" s="358" t="str">
        <f>IF(INPUT!S56="","",CONCATENATE("(",INPUT!S56,")"))</f>
        <v/>
      </c>
      <c r="S32" s="358" t="str">
        <f>IF(INPUT!T56="","",CONCATENATE("(",INPUT!T56,")"))</f>
        <v/>
      </c>
      <c r="T32" s="358" t="str">
        <f>IF(INPUT!U56="","",CONCATENATE("(",INPUT!U56,")"))</f>
        <v/>
      </c>
      <c r="U32" s="358" t="str">
        <f>IF(INPUT!V56="","",CONCATENATE("(",INPUT!V56,")"))</f>
        <v/>
      </c>
      <c r="V32" s="616"/>
    </row>
    <row r="33" spans="1:22" s="355" customFormat="1" ht="11.1" customHeight="1" x14ac:dyDescent="0.2">
      <c r="A33" s="354" t="s">
        <v>35</v>
      </c>
      <c r="B33" s="349">
        <f>IF(ISERROR('Oper.St.'!C95),"",IF('Oper.St.'!C95=0,"",'Oper.St.'!C95))</f>
        <v>6.9999999999999979E-2</v>
      </c>
      <c r="C33" s="349">
        <f>IF(ISERROR('Oper.St.'!D95),"",IF('Oper.St.'!D95=0,"",'Oper.St.'!D95))</f>
        <v>0.09</v>
      </c>
      <c r="D33" s="349">
        <f>IF(ISERROR('Oper.St.'!E95),"",IF('Oper.St.'!E95=0,"",'Oper.St.'!E95))</f>
        <v>0.27000000000000018</v>
      </c>
      <c r="E33" s="349">
        <f>IF(ISERROR('Oper.St.'!F95),"",IF('Oper.St.'!F95=0,"",'Oper.St.'!F95))</f>
        <v>0.21699999999999989</v>
      </c>
      <c r="F33" s="349">
        <f>IF(ISERROR('Oper.St.'!G95),"",IF('Oper.St.'!G95=0,"",'Oper.St.'!G95))</f>
        <v>0.56000000000000028</v>
      </c>
      <c r="G33" s="349">
        <f>IF(ISERROR('Oper.St.'!H95),"",IF('Oper.St.'!H95=0,"",'Oper.St.'!H95))</f>
        <v>1.1975075000000017</v>
      </c>
      <c r="H33" s="349">
        <f>IF(ISERROR('Oper.St.'!I95),"",IF('Oper.St.'!I95=0,"",'Oper.St.'!I95))</f>
        <v>1.627409000000001</v>
      </c>
      <c r="I33" s="349">
        <f>IF(ISERROR('Oper.St.'!J95),"",IF('Oper.St.'!J95=0,"",'Oper.St.'!J95))</f>
        <v>1.8217272499999999</v>
      </c>
      <c r="J33" s="349">
        <f>IF(ISERROR('Oper.St.'!K95),"",IF('Oper.St.'!K95=0,"",'Oper.St.'!K95))</f>
        <v>2.0010794999999959</v>
      </c>
      <c r="K33" s="349">
        <f>IF(ISERROR('Oper.St.'!L95),"",IF('Oper.St.'!L95=0,"",'Oper.St.'!L95))</f>
        <v>2.2184050000000006</v>
      </c>
      <c r="L33" s="349">
        <f>IF(ISERROR('Oper.St.'!M95),"",IF('Oper.St.'!M95=0,"",'Oper.St.'!M95))</f>
        <v>2.5492687499999991</v>
      </c>
      <c r="M33" s="349" t="str">
        <f>IF(ISERROR('Oper.St.'!N95),"",IF('Oper.St.'!N95=0,"",'Oper.St.'!N95))</f>
        <v/>
      </c>
      <c r="N33" s="349" t="str">
        <f>IF(ISERROR('Oper.St.'!O95),"",IF('Oper.St.'!O95=0,"",'Oper.St.'!O95))</f>
        <v/>
      </c>
      <c r="O33" s="349" t="str">
        <f>IF(ISERROR('Oper.St.'!P95),"",IF('Oper.St.'!P95=0,"",'Oper.St.'!P95))</f>
        <v/>
      </c>
      <c r="P33" s="349" t="str">
        <f>IF(ISERROR('Oper.St.'!Q95),"",IF('Oper.St.'!Q95=0,"",'Oper.St.'!Q95))</f>
        <v/>
      </c>
      <c r="Q33" s="349" t="str">
        <f>IF(ISERROR('Oper.St.'!R95),"",IF('Oper.St.'!R95=0,"",'Oper.St.'!R95))</f>
        <v/>
      </c>
      <c r="R33" s="349" t="str">
        <f>IF(ISERROR('Oper.St.'!S95),"",IF('Oper.St.'!S95=0,"",'Oper.St.'!S95))</f>
        <v/>
      </c>
      <c r="S33" s="349" t="str">
        <f>IF(ISERROR('Oper.St.'!T95),"",IF('Oper.St.'!T95=0,"",'Oper.St.'!T95))</f>
        <v/>
      </c>
      <c r="T33" s="349" t="str">
        <f>IF(ISERROR('Oper.St.'!U95),"",IF('Oper.St.'!U95=0,"",'Oper.St.'!U95))</f>
        <v/>
      </c>
      <c r="U33" s="349" t="str">
        <f>IF(ISERROR('Oper.St.'!V95),"",IF('Oper.St.'!V95=0,"",'Oper.St.'!V95))</f>
        <v/>
      </c>
      <c r="V33" s="615"/>
    </row>
    <row r="34" spans="1:22" s="355" customFormat="1" ht="11.1" customHeight="1" x14ac:dyDescent="0.2">
      <c r="A34" s="356"/>
      <c r="B34" s="358" t="str">
        <f>IF(INPUT!C39="","",CONCATENATE("(",INPUT!C39,")"))</f>
        <v/>
      </c>
      <c r="C34" s="358" t="str">
        <f>IF(INPUT!D39="","",CONCATENATE("(",INPUT!D39,")"))</f>
        <v/>
      </c>
      <c r="D34" s="358" t="str">
        <f>IF(INPUT!E39="","",CONCATENATE("(",INPUT!E39,")"))</f>
        <v/>
      </c>
      <c r="E34" s="358" t="str">
        <f>IF(INPUT!F39="","",CONCATENATE("(",INPUT!F39,")"))</f>
        <v/>
      </c>
      <c r="F34" s="358" t="str">
        <f>IF(INPUT!G39="","",CONCATENATE("(",INPUT!G39,")"))</f>
        <v/>
      </c>
      <c r="G34" s="358" t="str">
        <f>IF(INPUT!H39="","",CONCATENATE("(",INPUT!H39,")"))</f>
        <v/>
      </c>
      <c r="H34" s="358" t="str">
        <f>IF(INPUT!I39="","",CONCATENATE("(",INPUT!I39,")"))</f>
        <v/>
      </c>
      <c r="I34" s="358" t="str">
        <f>IF(INPUT!J39="","",CONCATENATE("(",INPUT!J39,")"))</f>
        <v/>
      </c>
      <c r="J34" s="358" t="str">
        <f>IF(INPUT!K39="","",CONCATENATE("(",INPUT!K39,")"))</f>
        <v/>
      </c>
      <c r="K34" s="358" t="str">
        <f>IF(INPUT!L39="","",CONCATENATE("(",INPUT!L39,")"))</f>
        <v/>
      </c>
      <c r="L34" s="358" t="str">
        <f>IF(INPUT!M39="","",CONCATENATE("(",INPUT!M39,")"))</f>
        <v/>
      </c>
      <c r="M34" s="358" t="str">
        <f>IF(INPUT!N39="","",CONCATENATE("(",INPUT!N39,")"))</f>
        <v/>
      </c>
      <c r="N34" s="358" t="str">
        <f>IF(INPUT!O39="","",CONCATENATE("(",INPUT!O39,")"))</f>
        <v/>
      </c>
      <c r="O34" s="358" t="str">
        <f>IF(INPUT!P39="","",CONCATENATE("(",INPUT!P39,")"))</f>
        <v/>
      </c>
      <c r="P34" s="358" t="str">
        <f>IF(INPUT!Q39="","",CONCATENATE("(",INPUT!Q39,")"))</f>
        <v/>
      </c>
      <c r="Q34" s="358" t="str">
        <f>IF(INPUT!R39="","",CONCATENATE("(",INPUT!R39,")"))</f>
        <v/>
      </c>
      <c r="R34" s="358" t="str">
        <f>IF(INPUT!S39="","",CONCATENATE("(",INPUT!S39,")"))</f>
        <v/>
      </c>
      <c r="S34" s="358" t="str">
        <f>IF(INPUT!T39="","",CONCATENATE("(",INPUT!T39,")"))</f>
        <v/>
      </c>
      <c r="T34" s="358" t="str">
        <f>IF(INPUT!U39="","",CONCATENATE("(",INPUT!U39,")"))</f>
        <v/>
      </c>
      <c r="U34" s="358" t="str">
        <f>IF(INPUT!V39="","",CONCATENATE("(",INPUT!V39,")"))</f>
        <v/>
      </c>
      <c r="V34" s="615"/>
    </row>
    <row r="35" spans="1:22" s="361" customFormat="1" ht="11.1" customHeight="1" x14ac:dyDescent="0.2">
      <c r="A35" s="359" t="s">
        <v>933</v>
      </c>
      <c r="B35" s="360">
        <f>IF(ISERROR('Oper.St.'!C95/'Oper.St.'!C23),"",IF('Oper.St.'!C95/'Oper.St.'!C23=0,"",'Oper.St.'!C95/'Oper.St.'!C23))</f>
        <v>8.7499999999999967E-2</v>
      </c>
      <c r="C35" s="360">
        <f>IF(ISERROR('Oper.St.'!D95/'Oper.St.'!D23),"",IF('Oper.St.'!D95/'Oper.St.'!D23=0,"",'Oper.St.'!D95/'Oper.St.'!D23))</f>
        <v>8.5714285714285701E-2</v>
      </c>
      <c r="D35" s="360">
        <f>IF(ISERROR('Oper.St.'!E95/'Oper.St.'!E23),"",IF('Oper.St.'!E95/'Oper.St.'!E23=0,"",'Oper.St.'!E95/'Oper.St.'!E23))</f>
        <v>0.1227272727272728</v>
      </c>
      <c r="E35" s="360">
        <f>IF(ISERROR('Oper.St.'!F95/'Oper.St.'!F23),"",IF('Oper.St.'!F95/'Oper.St.'!F23=0,"",'Oper.St.'!F95/'Oper.St.'!F23))</f>
        <v>5.4249999999999972E-2</v>
      </c>
      <c r="F35" s="360">
        <f>IF(ISERROR('Oper.St.'!G95/'Oper.St.'!G23),"",IF('Oper.St.'!G95/'Oper.St.'!G23=0,"",'Oper.St.'!G95/'Oper.St.'!G23))</f>
        <v>2.8000000000000014E-2</v>
      </c>
      <c r="G35" s="360">
        <f>IF(ISERROR('Oper.St.'!H95/'Oper.St.'!H23),"",IF('Oper.St.'!H95/'Oper.St.'!H23=0,"",'Oper.St.'!H95/'Oper.St.'!H23))</f>
        <v>3.4933124270711838E-2</v>
      </c>
      <c r="H35" s="360">
        <f>IF(ISERROR('Oper.St.'!I95/'Oper.St.'!I23),"",IF('Oper.St.'!I95/'Oper.St.'!I23=0,"",'Oper.St.'!I95/'Oper.St.'!I23))</f>
        <v>4.0262469074715514E-2</v>
      </c>
      <c r="I35" s="360">
        <f>IF(ISERROR('Oper.St.'!J95/'Oper.St.'!J23),"",IF('Oper.St.'!J95/'Oper.St.'!J23=0,"",'Oper.St.'!J95/'Oper.St.'!J23))</f>
        <v>4.1318377183034695E-2</v>
      </c>
      <c r="J35" s="360">
        <f>IF(ISERROR('Oper.St.'!K95/'Oper.St.'!K23),"",IF('Oper.St.'!K95/'Oper.St.'!K23=0,"",'Oper.St.'!K95/'Oper.St.'!K23))</f>
        <v>4.1723926188490322E-2</v>
      </c>
      <c r="K35" s="360">
        <f>IF(ISERROR('Oper.St.'!L95/'Oper.St.'!L23),"",IF('Oper.St.'!L95/'Oper.St.'!L23=0,"",'Oper.St.'!L95/'Oper.St.'!L23))</f>
        <v>4.2637036325197011E-2</v>
      </c>
      <c r="L35" s="360">
        <f>IF(ISERROR('Oper.St.'!M95/'Oper.St.'!M23),"",IF('Oper.St.'!M95/'Oper.St.'!M23=0,"",'Oper.St.'!M95/'Oper.St.'!M23))</f>
        <v>4.536065391459073E-2</v>
      </c>
      <c r="M35" s="360" t="str">
        <f>IF(ISERROR('Oper.St.'!N95/'Oper.St.'!N23),"",IF('Oper.St.'!N95/'Oper.St.'!N23=0,"",'Oper.St.'!N95/'Oper.St.'!N23))</f>
        <v/>
      </c>
      <c r="N35" s="360" t="str">
        <f>IF(ISERROR('Oper.St.'!O95/'Oper.St.'!O23),"",IF('Oper.St.'!O95/'Oper.St.'!O23=0,"",'Oper.St.'!O95/'Oper.St.'!O23))</f>
        <v/>
      </c>
      <c r="O35" s="360" t="str">
        <f>IF(ISERROR('Oper.St.'!P95/'Oper.St.'!P23),"",IF('Oper.St.'!P95/'Oper.St.'!P23=0,"",'Oper.St.'!P95/'Oper.St.'!P23))</f>
        <v/>
      </c>
      <c r="P35" s="360" t="str">
        <f>IF(ISERROR('Oper.St.'!Q95/'Oper.St.'!Q23),"",IF('Oper.St.'!Q95/'Oper.St.'!Q23=0,"",'Oper.St.'!Q95/'Oper.St.'!Q23))</f>
        <v/>
      </c>
      <c r="Q35" s="360" t="str">
        <f>IF(ISERROR('Oper.St.'!R95/'Oper.St.'!R23),"",IF('Oper.St.'!R95/'Oper.St.'!R23=0,"",'Oper.St.'!R95/'Oper.St.'!R23))</f>
        <v/>
      </c>
      <c r="R35" s="360" t="str">
        <f>IF(ISERROR('Oper.St.'!S95/'Oper.St.'!S23),"",IF('Oper.St.'!S95/'Oper.St.'!S23=0,"",'Oper.St.'!S95/'Oper.St.'!S23))</f>
        <v/>
      </c>
      <c r="S35" s="360" t="str">
        <f>IF(ISERROR('Oper.St.'!T95/'Oper.St.'!T23),"",IF('Oper.St.'!T95/'Oper.St.'!T23=0,"",'Oper.St.'!T95/'Oper.St.'!T23))</f>
        <v/>
      </c>
      <c r="T35" s="360" t="str">
        <f>IF(ISERROR('Oper.St.'!U95/'Oper.St.'!U23),"",IF('Oper.St.'!U95/'Oper.St.'!U23=0,"",'Oper.St.'!U95/'Oper.St.'!U23))</f>
        <v/>
      </c>
      <c r="U35" s="360" t="str">
        <f>IF(ISERROR('Oper.St.'!V95/'Oper.St.'!V23),"",IF('Oper.St.'!V95/'Oper.St.'!V23=0,"",'Oper.St.'!V95/'Oper.St.'!V23))</f>
        <v/>
      </c>
      <c r="V35" s="616"/>
    </row>
    <row r="36" spans="1:22" s="355" customFormat="1" ht="11.1" customHeight="1" x14ac:dyDescent="0.2">
      <c r="A36" s="356"/>
      <c r="B36" s="358" t="str">
        <f>IF(INPUT!C57="","",CONCATENATE("(",INPUT!C57,"%",")"))</f>
        <v/>
      </c>
      <c r="C36" s="358" t="str">
        <f>IF(INPUT!D57="","",CONCATENATE("(",INPUT!D57,"%",")"))</f>
        <v/>
      </c>
      <c r="D36" s="358" t="str">
        <f>IF(INPUT!E57="","",CONCATENATE("(",INPUT!E57,"%",")"))</f>
        <v/>
      </c>
      <c r="E36" s="358" t="str">
        <f>IF(INPUT!F57="","",CONCATENATE("(",INPUT!F57,"%",")"))</f>
        <v/>
      </c>
      <c r="F36" s="358" t="str">
        <f>IF(INPUT!G57="","",CONCATENATE("(",INPUT!G57,"%",")"))</f>
        <v/>
      </c>
      <c r="G36" s="358" t="str">
        <f>IF(INPUT!H57="","",CONCATENATE("(",INPUT!H57,"%",")"))</f>
        <v/>
      </c>
      <c r="H36" s="358" t="str">
        <f>IF(INPUT!I57="","",CONCATENATE("(",INPUT!I57,"%",")"))</f>
        <v/>
      </c>
      <c r="I36" s="358" t="str">
        <f>IF(INPUT!J57="","",CONCATENATE("(",INPUT!J57,"%",")"))</f>
        <v/>
      </c>
      <c r="J36" s="358" t="str">
        <f>IF(INPUT!K57="","",CONCATENATE("(",INPUT!K57,"%",")"))</f>
        <v/>
      </c>
      <c r="K36" s="358" t="str">
        <f>IF(INPUT!L57="","",CONCATENATE("(",INPUT!L57,"%",")"))</f>
        <v/>
      </c>
      <c r="L36" s="358" t="str">
        <f>IF(INPUT!M57="","",CONCATENATE("(",INPUT!M57,"%",")"))</f>
        <v/>
      </c>
      <c r="M36" s="358" t="str">
        <f>IF(INPUT!N57="","",CONCATENATE("(",INPUT!N57,"%",")"))</f>
        <v/>
      </c>
      <c r="N36" s="358" t="str">
        <f>IF(INPUT!O57="","",CONCATENATE("(",INPUT!O57,"%",")"))</f>
        <v/>
      </c>
      <c r="O36" s="358" t="str">
        <f>IF(INPUT!P57="","",CONCATENATE("(",INPUT!P57,"%",")"))</f>
        <v/>
      </c>
      <c r="P36" s="358" t="str">
        <f>IF(INPUT!Q57="","",CONCATENATE("(",INPUT!Q57,"%",")"))</f>
        <v/>
      </c>
      <c r="Q36" s="358" t="str">
        <f>IF(INPUT!R57="","",CONCATENATE("(",INPUT!R57,"%",")"))</f>
        <v/>
      </c>
      <c r="R36" s="358" t="str">
        <f>IF(INPUT!S57="","",CONCATENATE("(",INPUT!S57,"%",")"))</f>
        <v/>
      </c>
      <c r="S36" s="358" t="str">
        <f>IF(INPUT!T57="","",CONCATENATE("(",INPUT!T57,"%",")"))</f>
        <v/>
      </c>
      <c r="T36" s="358" t="str">
        <f>IF(INPUT!U57="","",CONCATENATE("(",INPUT!U57,"%",")"))</f>
        <v/>
      </c>
      <c r="U36" s="358" t="str">
        <f>IF(INPUT!V57="","",CONCATENATE("(",INPUT!V57,"%",")"))</f>
        <v/>
      </c>
      <c r="V36" s="615"/>
    </row>
    <row r="37" spans="1:22" s="355" customFormat="1" ht="11.1" customHeight="1" x14ac:dyDescent="0.2">
      <c r="A37" s="354" t="s">
        <v>899</v>
      </c>
      <c r="B37" s="349">
        <f>IF(ISERROR('Oper.St.'!C102),"",IF('Oper.St.'!C102=0,"",'Oper.St.'!C102))</f>
        <v>6.9999999999999979E-2</v>
      </c>
      <c r="C37" s="349">
        <f>IF(ISERROR('Oper.St.'!D102),"",IF('Oper.St.'!D102=0,"",'Oper.St.'!D102))</f>
        <v>0.09</v>
      </c>
      <c r="D37" s="349">
        <f>IF(ISERROR('Oper.St.'!E102),"",IF('Oper.St.'!E102=0,"",'Oper.St.'!E102))</f>
        <v>0.27000000000000018</v>
      </c>
      <c r="E37" s="349">
        <f>IF(ISERROR('Oper.St.'!F102),"",IF('Oper.St.'!F102=0,"",'Oper.St.'!F102))</f>
        <v>0.21699999999999989</v>
      </c>
      <c r="F37" s="349">
        <f>IF(ISERROR('Oper.St.'!G102),"",IF('Oper.St.'!G102=0,"",'Oper.St.'!G102))</f>
        <v>0.56000000000000028</v>
      </c>
      <c r="G37" s="349">
        <f>IF(ISERROR('Oper.St.'!H102),"",IF('Oper.St.'!H102=0,"",'Oper.St.'!H102))</f>
        <v>1.1975075000000017</v>
      </c>
      <c r="H37" s="349">
        <f>IF(ISERROR('Oper.St.'!I102),"",IF('Oper.St.'!I102=0,"",'Oper.St.'!I102))</f>
        <v>1.627409000000001</v>
      </c>
      <c r="I37" s="349">
        <f>IF(ISERROR('Oper.St.'!J102),"",IF('Oper.St.'!J102=0,"",'Oper.St.'!J102))</f>
        <v>1.8217272499999999</v>
      </c>
      <c r="J37" s="349">
        <f>IF(ISERROR('Oper.St.'!K102),"",IF('Oper.St.'!K102=0,"",'Oper.St.'!K102))</f>
        <v>2.0010794999999959</v>
      </c>
      <c r="K37" s="349">
        <f>IF(ISERROR('Oper.St.'!L102),"",IF('Oper.St.'!L102=0,"",'Oper.St.'!L102))</f>
        <v>2.2184050000000006</v>
      </c>
      <c r="L37" s="349">
        <f>IF(ISERROR('Oper.St.'!M102),"",IF('Oper.St.'!M102=0,"",'Oper.St.'!M102))</f>
        <v>2.5492687499999991</v>
      </c>
      <c r="M37" s="349" t="str">
        <f>IF(ISERROR('Oper.St.'!N102),"",IF('Oper.St.'!N102=0,"",'Oper.St.'!N102))</f>
        <v/>
      </c>
      <c r="N37" s="349" t="str">
        <f>IF(ISERROR('Oper.St.'!O102),"",IF('Oper.St.'!O102=0,"",'Oper.St.'!O102))</f>
        <v/>
      </c>
      <c r="O37" s="349" t="str">
        <f>IF(ISERROR('Oper.St.'!P102),"",IF('Oper.St.'!P102=0,"",'Oper.St.'!P102))</f>
        <v/>
      </c>
      <c r="P37" s="349" t="str">
        <f>IF(ISERROR('Oper.St.'!Q102),"",IF('Oper.St.'!Q102=0,"",'Oper.St.'!Q102))</f>
        <v/>
      </c>
      <c r="Q37" s="349" t="str">
        <f>IF(ISERROR('Oper.St.'!R102),"",IF('Oper.St.'!R102=0,"",'Oper.St.'!R102))</f>
        <v/>
      </c>
      <c r="R37" s="349" t="str">
        <f>IF(ISERROR('Oper.St.'!S102),"",IF('Oper.St.'!S102=0,"",'Oper.St.'!S102))</f>
        <v/>
      </c>
      <c r="S37" s="349" t="str">
        <f>IF(ISERROR('Oper.St.'!T102),"",IF('Oper.St.'!T102=0,"",'Oper.St.'!T102))</f>
        <v/>
      </c>
      <c r="T37" s="349" t="str">
        <f>IF(ISERROR('Oper.St.'!U102),"",IF('Oper.St.'!U102=0,"",'Oper.St.'!U102))</f>
        <v/>
      </c>
      <c r="U37" s="349" t="str">
        <f>IF(ISERROR('Oper.St.'!V102),"",IF('Oper.St.'!V102=0,"",'Oper.St.'!V102))</f>
        <v/>
      </c>
      <c r="V37" s="615"/>
    </row>
    <row r="38" spans="1:22" s="355" customFormat="1" ht="11.1" customHeight="1" x14ac:dyDescent="0.2">
      <c r="A38" s="356"/>
      <c r="B38" s="358" t="str">
        <f>IF(INPUT!C58="","",CONCATENATE("(",INPUT!C58,")"))</f>
        <v/>
      </c>
      <c r="C38" s="358" t="str">
        <f>IF(INPUT!D58="","",CONCATENATE("(",INPUT!D58,")"))</f>
        <v/>
      </c>
      <c r="D38" s="358" t="str">
        <f>IF(INPUT!E58="","",CONCATENATE("(",INPUT!E58,")"))</f>
        <v/>
      </c>
      <c r="E38" s="358" t="str">
        <f>IF(INPUT!F58="","",CONCATENATE("(",INPUT!F58,")"))</f>
        <v/>
      </c>
      <c r="F38" s="358" t="str">
        <f>IF(INPUT!G58="","",CONCATENATE("(",INPUT!G58,")"))</f>
        <v/>
      </c>
      <c r="G38" s="358" t="str">
        <f>IF(INPUT!H58="","",CONCATENATE("(",INPUT!H58,")"))</f>
        <v/>
      </c>
      <c r="H38" s="358" t="str">
        <f>IF(INPUT!I58="","",CONCATENATE("(",INPUT!I58,")"))</f>
        <v/>
      </c>
      <c r="I38" s="358" t="str">
        <f>IF(INPUT!J58="","",CONCATENATE("(",INPUT!J58,")"))</f>
        <v/>
      </c>
      <c r="J38" s="358" t="str">
        <f>IF(INPUT!K58="","",CONCATENATE("(",INPUT!K58,")"))</f>
        <v/>
      </c>
      <c r="K38" s="358" t="str">
        <f>IF(INPUT!L58="","",CONCATENATE("(",INPUT!L58,")"))</f>
        <v/>
      </c>
      <c r="L38" s="358" t="str">
        <f>IF(INPUT!M58="","",CONCATENATE("(",INPUT!M58,")"))</f>
        <v/>
      </c>
      <c r="M38" s="358" t="str">
        <f>IF(INPUT!N58="","",CONCATENATE("(",INPUT!N58,")"))</f>
        <v/>
      </c>
      <c r="N38" s="358" t="str">
        <f>IF(INPUT!O58="","",CONCATENATE("(",INPUT!O58,")"))</f>
        <v/>
      </c>
      <c r="O38" s="358" t="str">
        <f>IF(INPUT!P58="","",CONCATENATE("(",INPUT!P58,")"))</f>
        <v/>
      </c>
      <c r="P38" s="358" t="str">
        <f>IF(INPUT!Q58="","",CONCATENATE("(",INPUT!Q58,")"))</f>
        <v/>
      </c>
      <c r="Q38" s="358" t="str">
        <f>IF(INPUT!R58="","",CONCATENATE("(",INPUT!R58,")"))</f>
        <v/>
      </c>
      <c r="R38" s="358" t="str">
        <f>IF(INPUT!S58="","",CONCATENATE("(",INPUT!S58,")"))</f>
        <v/>
      </c>
      <c r="S38" s="358" t="str">
        <f>IF(INPUT!T58="","",CONCATENATE("(",INPUT!T58,")"))</f>
        <v/>
      </c>
      <c r="T38" s="358" t="str">
        <f>IF(INPUT!U58="","",CONCATENATE("(",INPUT!U58,")"))</f>
        <v/>
      </c>
      <c r="U38" s="358" t="str">
        <f>IF(INPUT!V58="","",CONCATENATE("(",INPUT!V58,")"))</f>
        <v/>
      </c>
      <c r="V38" s="615"/>
    </row>
    <row r="39" spans="1:22" s="361" customFormat="1" ht="11.1" customHeight="1" x14ac:dyDescent="0.2">
      <c r="A39" s="359" t="s">
        <v>934</v>
      </c>
      <c r="B39" s="360">
        <f>IF(ISERROR('Oper.St.'!C102/Asset!C93),"",IF('Oper.St.'!C102/Asset!C93=0,"",'Oper.St.'!C102/Asset!C93))</f>
        <v>0.24999999999999989</v>
      </c>
      <c r="C39" s="360">
        <f>IF(ISERROR('Oper.St.'!D102/Asset!D93),"",IF('Oper.St.'!D102/Asset!D93=0,"",'Oper.St.'!D102/Asset!D93))</f>
        <v>0.2045454545454545</v>
      </c>
      <c r="D39" s="360">
        <f>IF(ISERROR('Oper.St.'!E102/Asset!E93),"",IF('Oper.St.'!E102/Asset!E93=0,"",'Oper.St.'!E102/Asset!E93))</f>
        <v>5.567010309278355E-2</v>
      </c>
      <c r="E39" s="360">
        <f>IF(ISERROR('Oper.St.'!F102/Asset!F93),"",IF('Oper.St.'!F102/Asset!F93=0,"",'Oper.St.'!F102/Asset!F93))</f>
        <v>1.4229508196721304E-2</v>
      </c>
      <c r="F39" s="360">
        <f>IF(ISERROR('Oper.St.'!G102/Asset!G93),"",IF('Oper.St.'!G102/Asset!G93=0,"",'Oper.St.'!G102/Asset!G93))</f>
        <v>2.0887728459530037E-2</v>
      </c>
      <c r="G39" s="360">
        <f>IF(ISERROR('Oper.St.'!H102/Asset!H93),"",IF('Oper.St.'!H102/Asset!H93=0,"",'Oper.St.'!H102/Asset!H93))</f>
        <v>4.3553783732859196E-2</v>
      </c>
      <c r="H39" s="360">
        <f>IF(ISERROR('Oper.St.'!I102/Asset!I93),"",IF('Oper.St.'!I102/Asset!I93=0,"",'Oper.St.'!I102/Asset!I93))</f>
        <v>5.8407328984612233E-2</v>
      </c>
      <c r="I39" s="360">
        <f>IF(ISERROR('Oper.St.'!J102/Asset!J93),"",IF('Oper.St.'!J102/Asset!J93=0,"",'Oper.St.'!J102/Asset!J93))</f>
        <v>6.6376039309625642E-2</v>
      </c>
      <c r="J39" s="360">
        <f>IF(ISERROR('Oper.St.'!K102/Asset!K93),"",IF('Oper.St.'!K102/Asset!K93=0,"",'Oper.St.'!K102/Asset!K93))</f>
        <v>7.3777400736941723E-2</v>
      </c>
      <c r="K39" s="360">
        <f>IF(ISERROR('Oper.St.'!L102/Asset!L93),"",IF('Oper.St.'!L102/Asset!L93=0,"",'Oper.St.'!L102/Asset!L93))</f>
        <v>8.2828664967178195E-2</v>
      </c>
      <c r="L39" s="360">
        <f>IF(ISERROR('Oper.St.'!M102/Asset!M93),"",IF('Oper.St.'!M102/Asset!M93=0,"",'Oper.St.'!M102/Asset!M93))</f>
        <v>9.7154202877458656E-2</v>
      </c>
      <c r="M39" s="360" t="str">
        <f>IF(ISERROR('Oper.St.'!N102/Asset!N93),"",IF('Oper.St.'!N102/Asset!N93=0,"",'Oper.St.'!N102/Asset!N93))</f>
        <v/>
      </c>
      <c r="N39" s="360" t="str">
        <f>IF(ISERROR('Oper.St.'!O102/Asset!O93),"",IF('Oper.St.'!O102/Asset!O93=0,"",'Oper.St.'!O102/Asset!O93))</f>
        <v/>
      </c>
      <c r="O39" s="360" t="str">
        <f>IF(ISERROR('Oper.St.'!P102/Asset!P93),"",IF('Oper.St.'!P102/Asset!P93=0,"",'Oper.St.'!P102/Asset!P93))</f>
        <v/>
      </c>
      <c r="P39" s="360" t="str">
        <f>IF(ISERROR('Oper.St.'!Q102/Asset!Q93),"",IF('Oper.St.'!Q102/Asset!Q93=0,"",'Oper.St.'!Q102/Asset!Q93))</f>
        <v/>
      </c>
      <c r="Q39" s="360" t="str">
        <f>IF(ISERROR('Oper.St.'!R102/Asset!R93),"",IF('Oper.St.'!R102/Asset!R93=0,"",'Oper.St.'!R102/Asset!R93))</f>
        <v/>
      </c>
      <c r="R39" s="360" t="str">
        <f>IF(ISERROR('Oper.St.'!S102/Asset!S93),"",IF('Oper.St.'!S102/Asset!S93=0,"",'Oper.St.'!S102/Asset!S93))</f>
        <v/>
      </c>
      <c r="S39" s="360" t="str">
        <f>IF(ISERROR('Oper.St.'!T102/Asset!T93),"",IF('Oper.St.'!T102/Asset!T93=0,"",'Oper.St.'!T102/Asset!T93))</f>
        <v/>
      </c>
      <c r="T39" s="360" t="str">
        <f>IF(ISERROR('Oper.St.'!U102/Asset!U93),"",IF('Oper.St.'!U102/Asset!U93=0,"",'Oper.St.'!U102/Asset!U93))</f>
        <v/>
      </c>
      <c r="U39" s="360" t="str">
        <f>IF(ISERROR('Oper.St.'!V102/Asset!V93),"",IF('Oper.St.'!V102/Asset!V93=0,"",'Oper.St.'!V102/Asset!V93))</f>
        <v/>
      </c>
      <c r="V39" s="616"/>
    </row>
    <row r="40" spans="1:22" s="355" customFormat="1" ht="11.1" customHeight="1" x14ac:dyDescent="0.2">
      <c r="A40" s="356"/>
      <c r="B40" s="412" t="str">
        <f>IF(INPUT!C59="","",CONCATENATE("(",INPUT!C59,"%",")"))</f>
        <v/>
      </c>
      <c r="C40" s="412" t="str">
        <f>IF(INPUT!D59="","",CONCATENATE("(",INPUT!D59,"%",")"))</f>
        <v/>
      </c>
      <c r="D40" s="412" t="str">
        <f>IF(INPUT!E59="","",CONCATENATE("(",INPUT!E59,"%",")"))</f>
        <v/>
      </c>
      <c r="E40" s="412" t="str">
        <f>IF(INPUT!F59="","",CONCATENATE("(",INPUT!F59,"%",")"))</f>
        <v/>
      </c>
      <c r="F40" s="412" t="str">
        <f>IF(INPUT!G59="","",CONCATENATE("(",INPUT!G59,"%",")"))</f>
        <v/>
      </c>
      <c r="G40" s="412" t="str">
        <f>IF(INPUT!H59="","",CONCATENATE("(",INPUT!H59,"%",")"))</f>
        <v/>
      </c>
      <c r="H40" s="412" t="str">
        <f>IF(INPUT!I59="","",CONCATENATE("(",INPUT!I59,"%",")"))</f>
        <v/>
      </c>
      <c r="I40" s="412" t="str">
        <f>IF(INPUT!J59="","",CONCATENATE("(",INPUT!J59,"%",")"))</f>
        <v/>
      </c>
      <c r="J40" s="412" t="str">
        <f>IF(INPUT!K59="","",CONCATENATE("(",INPUT!K59,"%",")"))</f>
        <v/>
      </c>
      <c r="K40" s="412" t="str">
        <f>IF(INPUT!L59="","",CONCATENATE("(",INPUT!L59,"%",")"))</f>
        <v/>
      </c>
      <c r="L40" s="412" t="str">
        <f>IF(INPUT!M59="","",CONCATENATE("(",INPUT!M59,"%",")"))</f>
        <v/>
      </c>
      <c r="M40" s="412" t="str">
        <f>IF(INPUT!N59="","",CONCATENATE("(",INPUT!N59,"%",")"))</f>
        <v/>
      </c>
      <c r="N40" s="412" t="str">
        <f>IF(INPUT!O59="","",CONCATENATE("(",INPUT!O59,"%",")"))</f>
        <v/>
      </c>
      <c r="O40" s="412" t="str">
        <f>IF(INPUT!P59="","",CONCATENATE("(",INPUT!P59,"%",")"))</f>
        <v/>
      </c>
      <c r="P40" s="412" t="str">
        <f>IF(INPUT!Q59="","",CONCATENATE("(",INPUT!Q59,"%",")"))</f>
        <v/>
      </c>
      <c r="Q40" s="412" t="str">
        <f>IF(INPUT!R59="","",CONCATENATE("(",INPUT!R59,"%",")"))</f>
        <v/>
      </c>
      <c r="R40" s="412" t="str">
        <f>IF(INPUT!S59="","",CONCATENATE("(",INPUT!S59,"%",")"))</f>
        <v/>
      </c>
      <c r="S40" s="412" t="str">
        <f>IF(INPUT!T59="","",CONCATENATE("(",INPUT!T59,"%",")"))</f>
        <v/>
      </c>
      <c r="T40" s="412" t="str">
        <f>IF(INPUT!U59="","",CONCATENATE("(",INPUT!U59,"%",")"))</f>
        <v/>
      </c>
      <c r="U40" s="412" t="str">
        <f>IF(INPUT!V59="","",CONCATENATE("(",INPUT!V59,"%",")"))</f>
        <v/>
      </c>
      <c r="V40" s="615"/>
    </row>
    <row r="41" spans="1:22" s="355" customFormat="1" ht="11.1" customHeight="1" x14ac:dyDescent="0.2">
      <c r="A41" s="354" t="s">
        <v>901</v>
      </c>
      <c r="B41" s="349">
        <f>IF(ISERROR(('Oper.St.'!C95-'Oper.St.'!C100+'Oper.St.'!C47)),"",IF(('Oper.St.'!C95-'Oper.St.'!C100+'Oper.St.'!C47)=0,"",'Oper.St.'!C95-'Oper.St.'!C100+'Oper.St.'!C47))</f>
        <v>9.9999999999999978E-2</v>
      </c>
      <c r="C41" s="349">
        <f>IF(ISERROR(('Oper.St.'!D95-'Oper.St.'!D100+'Oper.St.'!D47)),"",IF(('Oper.St.'!D95-'Oper.St.'!D100+'Oper.St.'!D47)=0,"",'Oper.St.'!D95-'Oper.St.'!D100+'Oper.St.'!D47))</f>
        <v>0.11</v>
      </c>
      <c r="D41" s="349">
        <f>IF(ISERROR(('Oper.St.'!E95-'Oper.St.'!E100+'Oper.St.'!E47)),"",IF(('Oper.St.'!E95-'Oper.St.'!E100+'Oper.St.'!E47)=0,"",'Oper.St.'!E95-'Oper.St.'!E100+'Oper.St.'!E47))</f>
        <v>0.2900000000000002</v>
      </c>
      <c r="E41" s="349">
        <f>IF(ISERROR(('Oper.St.'!F95-'Oper.St.'!F100+'Oper.St.'!F47)),"",IF(('Oper.St.'!F95-'Oper.St.'!F100+'Oper.St.'!F47)=0,"",'Oper.St.'!F95-'Oper.St.'!F100+'Oper.St.'!F47))</f>
        <v>0.23699999999999988</v>
      </c>
      <c r="F41" s="349">
        <f>IF(ISERROR(('Oper.St.'!G95-'Oper.St.'!G100+'Oper.St.'!G47)),"",IF(('Oper.St.'!G95-'Oper.St.'!G100+'Oper.St.'!G47)=0,"",'Oper.St.'!G95-'Oper.St.'!G100+'Oper.St.'!G47))</f>
        <v>2.1300000000000003</v>
      </c>
      <c r="G41" s="349">
        <f>IF(ISERROR(('Oper.St.'!H95-'Oper.St.'!H100+'Oper.St.'!H47)),"",IF(('Oper.St.'!H95-'Oper.St.'!H100+'Oper.St.'!H47)=0,"",'Oper.St.'!H95-'Oper.St.'!H100+'Oper.St.'!H47))</f>
        <v>3.6775075000000017</v>
      </c>
      <c r="H41" s="349">
        <f>IF(ISERROR(('Oper.St.'!I95-'Oper.St.'!I100+'Oper.St.'!I47)),"",IF(('Oper.St.'!I95-'Oper.St.'!I100+'Oper.St.'!I47)=0,"",'Oper.St.'!I95-'Oper.St.'!I100+'Oper.St.'!I47))</f>
        <v>3.7874090000000011</v>
      </c>
      <c r="I41" s="349">
        <f>IF(ISERROR(('Oper.St.'!J95-'Oper.St.'!J100+'Oper.St.'!J47)),"",IF(('Oper.St.'!J95-'Oper.St.'!J100+'Oper.St.'!J47)=0,"",'Oper.St.'!J95-'Oper.St.'!J100+'Oper.St.'!J47))</f>
        <v>3.7017272499999998</v>
      </c>
      <c r="J41" s="349">
        <f>IF(ISERROR(('Oper.St.'!K95-'Oper.St.'!K100+'Oper.St.'!K47)),"",IF(('Oper.St.'!K95-'Oper.St.'!K100+'Oper.St.'!K47)=0,"",'Oper.St.'!K95-'Oper.St.'!K100+'Oper.St.'!K47))</f>
        <v>3.6410794999999956</v>
      </c>
      <c r="K41" s="349">
        <f>IF(ISERROR(('Oper.St.'!L95-'Oper.St.'!L100+'Oper.St.'!L47)),"",IF(('Oper.St.'!L95-'Oper.St.'!L100+'Oper.St.'!L47)=0,"",'Oper.St.'!L95-'Oper.St.'!L100+'Oper.St.'!L47))</f>
        <v>3.6484050000000003</v>
      </c>
      <c r="L41" s="349">
        <f>IF(ISERROR(('Oper.St.'!M95-'Oper.St.'!M100+'Oper.St.'!M47)),"",IF(('Oper.St.'!M95-'Oper.St.'!M100+'Oper.St.'!M47)=0,"",'Oper.St.'!M95-'Oper.St.'!M100+'Oper.St.'!M47))</f>
        <v>3.7892687499999989</v>
      </c>
      <c r="M41" s="349" t="str">
        <f>IF(ISERROR(('Oper.St.'!N95-'Oper.St.'!N100+'Oper.St.'!N47)),"",IF(('Oper.St.'!N95-'Oper.St.'!N100+'Oper.St.'!N47)=0,"",'Oper.St.'!N95-'Oper.St.'!N100+'Oper.St.'!N47))</f>
        <v/>
      </c>
      <c r="N41" s="349" t="str">
        <f>IF(ISERROR(('Oper.St.'!O95-'Oper.St.'!O100+'Oper.St.'!O47)),"",IF(('Oper.St.'!O95-'Oper.St.'!O100+'Oper.St.'!O47)=0,"",'Oper.St.'!O95-'Oper.St.'!O100+'Oper.St.'!O47))</f>
        <v/>
      </c>
      <c r="O41" s="349" t="str">
        <f>IF(ISERROR(('Oper.St.'!P95-'Oper.St.'!P100+'Oper.St.'!P47)),"",IF(('Oper.St.'!P95-'Oper.St.'!P100+'Oper.St.'!P47)=0,"",'Oper.St.'!P95-'Oper.St.'!P100+'Oper.St.'!P47))</f>
        <v/>
      </c>
      <c r="P41" s="349" t="str">
        <f>IF(ISERROR(('Oper.St.'!Q95-'Oper.St.'!Q100+'Oper.St.'!Q47)),"",IF(('Oper.St.'!Q95-'Oper.St.'!Q100+'Oper.St.'!Q47)=0,"",'Oper.St.'!Q95-'Oper.St.'!Q100+'Oper.St.'!Q47))</f>
        <v/>
      </c>
      <c r="Q41" s="349" t="str">
        <f>IF(ISERROR(('Oper.St.'!R95-'Oper.St.'!R100+'Oper.St.'!R47)),"",IF(('Oper.St.'!R95-'Oper.St.'!R100+'Oper.St.'!R47)=0,"",'Oper.St.'!R95-'Oper.St.'!R100+'Oper.St.'!R47))</f>
        <v/>
      </c>
      <c r="R41" s="349" t="str">
        <f>IF(ISERROR(('Oper.St.'!S95-'Oper.St.'!S100+'Oper.St.'!S47)),"",IF(('Oper.St.'!S95-'Oper.St.'!S100+'Oper.St.'!S47)=0,"",'Oper.St.'!S95-'Oper.St.'!S100+'Oper.St.'!S47))</f>
        <v/>
      </c>
      <c r="S41" s="349" t="str">
        <f>IF(ISERROR(('Oper.St.'!T95-'Oper.St.'!T100+'Oper.St.'!T47)),"",IF(('Oper.St.'!T95-'Oper.St.'!T100+'Oper.St.'!T47)=0,"",'Oper.St.'!T95-'Oper.St.'!T100+'Oper.St.'!T47))</f>
        <v/>
      </c>
      <c r="T41" s="349" t="str">
        <f>IF(ISERROR(('Oper.St.'!U95-'Oper.St.'!U100+'Oper.St.'!U47)),"",IF(('Oper.St.'!U95-'Oper.St.'!U100+'Oper.St.'!U47)=0,"",'Oper.St.'!U95-'Oper.St.'!U100+'Oper.St.'!U47))</f>
        <v/>
      </c>
      <c r="U41" s="349" t="str">
        <f>IF(ISERROR(('Oper.St.'!V95-'Oper.St.'!V100+'Oper.St.'!V47)),"",IF(('Oper.St.'!V95-'Oper.St.'!V100+'Oper.St.'!V47)=0,"",'Oper.St.'!V95-'Oper.St.'!V100+'Oper.St.'!V47))</f>
        <v/>
      </c>
      <c r="V41" s="615"/>
    </row>
    <row r="42" spans="1:22" s="355" customFormat="1" ht="11.1" customHeight="1" x14ac:dyDescent="0.2">
      <c r="A42" s="356"/>
      <c r="B42" s="358" t="str">
        <f>IF(INPUT!C60="","",CONCATENATE("(",INPUT!C60,")"))</f>
        <v/>
      </c>
      <c r="C42" s="358" t="str">
        <f>IF(INPUT!D60="","",CONCATENATE("(",INPUT!D60,")"))</f>
        <v/>
      </c>
      <c r="D42" s="358" t="str">
        <f>IF(INPUT!E60="","",CONCATENATE("(",INPUT!E60,")"))</f>
        <v/>
      </c>
      <c r="E42" s="358" t="str">
        <f>IF(INPUT!F60="","",CONCATENATE("(",INPUT!F60,")"))</f>
        <v/>
      </c>
      <c r="F42" s="358" t="str">
        <f>IF(INPUT!G60="","",CONCATENATE("(",INPUT!G60,")"))</f>
        <v/>
      </c>
      <c r="G42" s="358" t="str">
        <f>IF(INPUT!H60="","",CONCATENATE("(",INPUT!H60,")"))</f>
        <v/>
      </c>
      <c r="H42" s="358" t="str">
        <f>IF(INPUT!I60="","",CONCATENATE("(",INPUT!I60,")"))</f>
        <v/>
      </c>
      <c r="I42" s="358" t="str">
        <f>IF(INPUT!J60="","",CONCATENATE("(",INPUT!J60,")"))</f>
        <v/>
      </c>
      <c r="J42" s="358" t="str">
        <f>IF(INPUT!K60="","",CONCATENATE("(",INPUT!K60,")"))</f>
        <v/>
      </c>
      <c r="K42" s="358" t="str">
        <f>IF(INPUT!L60="","",CONCATENATE("(",INPUT!L60,")"))</f>
        <v/>
      </c>
      <c r="L42" s="358" t="str">
        <f>IF(INPUT!M60="","",CONCATENATE("(",INPUT!M60,")"))</f>
        <v/>
      </c>
      <c r="M42" s="358" t="str">
        <f>IF(INPUT!N60="","",CONCATENATE("(",INPUT!N60,")"))</f>
        <v/>
      </c>
      <c r="N42" s="358" t="str">
        <f>IF(INPUT!O60="","",CONCATENATE("(",INPUT!O60,")"))</f>
        <v/>
      </c>
      <c r="O42" s="358" t="str">
        <f>IF(INPUT!P60="","",CONCATENATE("(",INPUT!P60,")"))</f>
        <v/>
      </c>
      <c r="P42" s="358" t="str">
        <f>IF(INPUT!Q60="","",CONCATENATE("(",INPUT!Q60,")"))</f>
        <v/>
      </c>
      <c r="Q42" s="358" t="str">
        <f>IF(INPUT!R60="","",CONCATENATE("(",INPUT!R60,")"))</f>
        <v/>
      </c>
      <c r="R42" s="358" t="str">
        <f>IF(INPUT!S60="","",CONCATENATE("(",INPUT!S60,")"))</f>
        <v/>
      </c>
      <c r="S42" s="358" t="str">
        <f>IF(INPUT!T60="","",CONCATENATE("(",INPUT!T60,")"))</f>
        <v/>
      </c>
      <c r="T42" s="358" t="str">
        <f>IF(INPUT!U60="","",CONCATENATE("(",INPUT!U60,")"))</f>
        <v/>
      </c>
      <c r="U42" s="358" t="str">
        <f>IF(INPUT!V60="","",CONCATENATE("(",INPUT!V60,")"))</f>
        <v/>
      </c>
      <c r="V42" s="615"/>
    </row>
    <row r="43" spans="1:22" s="361" customFormat="1" ht="11.1" customHeight="1" x14ac:dyDescent="0.2">
      <c r="A43" s="359" t="s">
        <v>935</v>
      </c>
      <c r="B43" s="360">
        <f>IF(ISERROR(B41/B31),"",IF(B41/B31=0,"",B41/B31))</f>
        <v>0.49999999999999989</v>
      </c>
      <c r="C43" s="360">
        <f t="shared" ref="C43:U43" si="0">IF(ISERROR(C41/C31),"",IF(C41/C31=0,"",C41/C31))</f>
        <v>0.40740740740740738</v>
      </c>
      <c r="D43" s="360">
        <f t="shared" si="0"/>
        <v>6.5759637188208667E-2</v>
      </c>
      <c r="E43" s="360">
        <f t="shared" si="0"/>
        <v>3.5892776010904119E-2</v>
      </c>
      <c r="F43" s="360">
        <f t="shared" si="0"/>
        <v>0.13759689922480622</v>
      </c>
      <c r="G43" s="360">
        <f t="shared" si="0"/>
        <v>0.2456056956362252</v>
      </c>
      <c r="H43" s="360">
        <f t="shared" si="0"/>
        <v>0.27630273761129048</v>
      </c>
      <c r="I43" s="360">
        <f t="shared" si="0"/>
        <v>0.32271040659298311</v>
      </c>
      <c r="J43" s="360">
        <f t="shared" si="0"/>
        <v>0.39803634951244793</v>
      </c>
      <c r="K43" s="360">
        <f t="shared" si="0"/>
        <v>0.55356488530507464</v>
      </c>
      <c r="L43" s="360">
        <f t="shared" si="0"/>
        <v>1.0849595656460995</v>
      </c>
      <c r="M43" s="360" t="str">
        <f t="shared" si="0"/>
        <v/>
      </c>
      <c r="N43" s="360" t="str">
        <f t="shared" si="0"/>
        <v/>
      </c>
      <c r="O43" s="360" t="str">
        <f t="shared" si="0"/>
        <v/>
      </c>
      <c r="P43" s="360" t="str">
        <f t="shared" si="0"/>
        <v/>
      </c>
      <c r="Q43" s="360" t="str">
        <f t="shared" si="0"/>
        <v/>
      </c>
      <c r="R43" s="360" t="str">
        <f t="shared" si="0"/>
        <v/>
      </c>
      <c r="S43" s="360" t="str">
        <f t="shared" si="0"/>
        <v/>
      </c>
      <c r="T43" s="360" t="str">
        <f t="shared" si="0"/>
        <v/>
      </c>
      <c r="U43" s="360" t="str">
        <f t="shared" si="0"/>
        <v/>
      </c>
      <c r="V43" s="616"/>
    </row>
    <row r="44" spans="1:22" s="355" customFormat="1" ht="11.1" customHeight="1" x14ac:dyDescent="0.2">
      <c r="A44" s="356"/>
      <c r="B44" s="358" t="str">
        <f>IF(INPUT!C61="","",CONCATENATE("(",INPUT!C61,"%",")"))</f>
        <v/>
      </c>
      <c r="C44" s="358" t="str">
        <f>IF(INPUT!D61="","",CONCATENATE("(",INPUT!D61,"%",")"))</f>
        <v/>
      </c>
      <c r="D44" s="358" t="str">
        <f>IF(INPUT!E61="","",CONCATENATE("(",INPUT!E61,"%",")"))</f>
        <v/>
      </c>
      <c r="E44" s="358" t="str">
        <f>IF(INPUT!F61="","",CONCATENATE("(",INPUT!F61,"%",")"))</f>
        <v/>
      </c>
      <c r="F44" s="358" t="str">
        <f>IF(INPUT!G61="","",CONCATENATE("(",INPUT!G61,"%",")"))</f>
        <v/>
      </c>
      <c r="G44" s="358" t="str">
        <f>IF(INPUT!H61="","",CONCATENATE("(",INPUT!H61,"%",")"))</f>
        <v/>
      </c>
      <c r="H44" s="358" t="str">
        <f>IF(INPUT!I61="","",CONCATENATE("(",INPUT!I61,"%",")"))</f>
        <v/>
      </c>
      <c r="I44" s="358" t="str">
        <f>IF(INPUT!J61="","",CONCATENATE("(",INPUT!J61,"%",")"))</f>
        <v/>
      </c>
      <c r="J44" s="358" t="str">
        <f>IF(INPUT!K61="","",CONCATENATE("(",INPUT!K61,"%",")"))</f>
        <v/>
      </c>
      <c r="K44" s="358" t="str">
        <f>IF(INPUT!L61="","",CONCATENATE("(",INPUT!L61,"%",")"))</f>
        <v/>
      </c>
      <c r="L44" s="358" t="str">
        <f>IF(INPUT!M61="","",CONCATENATE("(",INPUT!M61,"%",")"))</f>
        <v/>
      </c>
      <c r="M44" s="358" t="str">
        <f>IF(INPUT!N61="","",CONCATENATE("(",INPUT!N61,"%",")"))</f>
        <v/>
      </c>
      <c r="N44" s="358" t="str">
        <f>IF(INPUT!O61="","",CONCATENATE("(",INPUT!O61,"%",")"))</f>
        <v/>
      </c>
      <c r="O44" s="358" t="str">
        <f>IF(INPUT!P61="","",CONCATENATE("(",INPUT!P61,"%",")"))</f>
        <v/>
      </c>
      <c r="P44" s="358" t="str">
        <f>IF(INPUT!Q61="","",CONCATENATE("(",INPUT!Q61,"%",")"))</f>
        <v/>
      </c>
      <c r="Q44" s="358" t="str">
        <f>IF(INPUT!R61="","",CONCATENATE("(",INPUT!R61,"%",")"))</f>
        <v/>
      </c>
      <c r="R44" s="358" t="str">
        <f>IF(INPUT!S61="","",CONCATENATE("(",INPUT!S61,"%",")"))</f>
        <v/>
      </c>
      <c r="S44" s="358" t="str">
        <f>IF(INPUT!T61="","",CONCATENATE("(",INPUT!T61,"%",")"))</f>
        <v/>
      </c>
      <c r="T44" s="358" t="str">
        <f>IF(INPUT!U61="","",CONCATENATE("(",INPUT!U61,"%",")"))</f>
        <v/>
      </c>
      <c r="U44" s="358" t="str">
        <f>IF(INPUT!V61="","",CONCATENATE("(",INPUT!V61,"%",")"))</f>
        <v/>
      </c>
      <c r="V44" s="615"/>
    </row>
    <row r="45" spans="1:22" s="355" customFormat="1" ht="11.1" customHeight="1" x14ac:dyDescent="0.2">
      <c r="A45" s="354" t="s">
        <v>17</v>
      </c>
      <c r="B45" s="349">
        <f>'Ratio New'!B37</f>
        <v>0.12999999999999998</v>
      </c>
      <c r="C45" s="349">
        <f>'Ratio New'!C37</f>
        <v>0.15</v>
      </c>
      <c r="D45" s="349">
        <f>'Ratio New'!D37</f>
        <v>0.45000000000000018</v>
      </c>
      <c r="E45" s="349">
        <f>'Ratio New'!E37</f>
        <v>0.79999999999999982</v>
      </c>
      <c r="F45" s="349">
        <f>'Ratio New'!F37</f>
        <v>3.2800000000000007</v>
      </c>
      <c r="G45" s="349">
        <f>'Ratio New'!G37</f>
        <v>5.3400000000000025</v>
      </c>
      <c r="H45" s="349">
        <f>'Ratio New'!H37</f>
        <v>5.4500000000000028</v>
      </c>
      <c r="I45" s="349">
        <f>'Ratio New'!I37</f>
        <v>5.3200000000000012</v>
      </c>
      <c r="J45" s="349">
        <f>'Ratio New'!J37</f>
        <v>5.1799999999999944</v>
      </c>
      <c r="K45" s="349">
        <f>'Ratio New'!K37</f>
        <v>5.1000000000000014</v>
      </c>
      <c r="L45" s="349">
        <f>'Ratio New'!L37</f>
        <v>5.17</v>
      </c>
      <c r="M45" s="349" t="str">
        <f>'Ratio New'!M37</f>
        <v/>
      </c>
      <c r="N45" s="349" t="str">
        <f>'Ratio New'!N37</f>
        <v/>
      </c>
      <c r="O45" s="349" t="str">
        <f>'Ratio New'!O37</f>
        <v/>
      </c>
      <c r="P45" s="349" t="str">
        <f>'Ratio New'!P37</f>
        <v/>
      </c>
      <c r="Q45" s="349" t="str">
        <f>'Ratio New'!Q37</f>
        <v/>
      </c>
      <c r="R45" s="349" t="str">
        <f>'Ratio New'!R37</f>
        <v/>
      </c>
      <c r="S45" s="349" t="str">
        <f>'Ratio New'!S37</f>
        <v/>
      </c>
      <c r="T45" s="349" t="str">
        <f>'Ratio New'!T37</f>
        <v/>
      </c>
      <c r="U45" s="349" t="str">
        <f>'Ratio New'!U37</f>
        <v/>
      </c>
      <c r="V45" s="615"/>
    </row>
    <row r="46" spans="1:22" s="355" customFormat="1" ht="11.1" customHeight="1" x14ac:dyDescent="0.2">
      <c r="A46" s="356"/>
      <c r="B46" s="358" t="str">
        <f>IF(INPUT!C41="","",CONCATENATE("(",INPUT!C41,")"))</f>
        <v/>
      </c>
      <c r="C46" s="358" t="str">
        <f>IF(INPUT!D41="","",CONCATENATE("(",INPUT!D41,")"))</f>
        <v/>
      </c>
      <c r="D46" s="358" t="str">
        <f>IF(INPUT!E41="","",CONCATENATE("(",INPUT!E41,")"))</f>
        <v/>
      </c>
      <c r="E46" s="358" t="str">
        <f>IF(INPUT!F41="","",CONCATENATE("(",INPUT!F41,")"))</f>
        <v/>
      </c>
      <c r="F46" s="358" t="str">
        <f>IF(INPUT!G41="","",CONCATENATE("(",INPUT!G41,")"))</f>
        <v/>
      </c>
      <c r="G46" s="358" t="str">
        <f>IF(INPUT!H41="","",CONCATENATE("(",INPUT!H41,")"))</f>
        <v/>
      </c>
      <c r="H46" s="358" t="str">
        <f>IF(INPUT!I41="","",CONCATENATE("(",INPUT!I41,")"))</f>
        <v/>
      </c>
      <c r="I46" s="358" t="str">
        <f>IF(INPUT!J41="","",CONCATENATE("(",INPUT!J41,")"))</f>
        <v/>
      </c>
      <c r="J46" s="358" t="str">
        <f>IF(INPUT!K41="","",CONCATENATE("(",INPUT!K41,")"))</f>
        <v/>
      </c>
      <c r="K46" s="358" t="str">
        <f>IF(INPUT!L41="","",CONCATENATE("(",INPUT!L41,")"))</f>
        <v/>
      </c>
      <c r="L46" s="358" t="str">
        <f>IF(INPUT!M41="","",CONCATENATE("(",INPUT!M41,")"))</f>
        <v/>
      </c>
      <c r="M46" s="358" t="str">
        <f>IF(INPUT!N41="","",CONCATENATE("(",INPUT!N41,")"))</f>
        <v/>
      </c>
      <c r="N46" s="358" t="str">
        <f>IF(INPUT!O41="","",CONCATENATE("(",INPUT!O41,")"))</f>
        <v/>
      </c>
      <c r="O46" s="358" t="str">
        <f>IF(INPUT!P41="","",CONCATENATE("(",INPUT!P41,")"))</f>
        <v/>
      </c>
      <c r="P46" s="358" t="str">
        <f>IF(INPUT!Q41="","",CONCATENATE("(",INPUT!Q41,")"))</f>
        <v/>
      </c>
      <c r="Q46" s="358" t="str">
        <f>IF(INPUT!R41="","",CONCATENATE("(",INPUT!R41,")"))</f>
        <v/>
      </c>
      <c r="R46" s="358" t="str">
        <f>IF(INPUT!S41="","",CONCATENATE("(",INPUT!S41,")"))</f>
        <v/>
      </c>
      <c r="S46" s="358" t="str">
        <f>IF(INPUT!T41="","",CONCATENATE("(",INPUT!T41,")"))</f>
        <v/>
      </c>
      <c r="T46" s="358" t="str">
        <f>IF(INPUT!U41="","",CONCATENATE("(",INPUT!U41,")"))</f>
        <v/>
      </c>
      <c r="U46" s="358" t="str">
        <f>IF(INPUT!V41="","",CONCATENATE("(",INPUT!V41,")"))</f>
        <v/>
      </c>
      <c r="V46" s="615"/>
    </row>
    <row r="47" spans="1:22" s="355" customFormat="1" ht="11.1" customHeight="1" x14ac:dyDescent="0.2">
      <c r="A47" s="354" t="s">
        <v>903</v>
      </c>
      <c r="B47" s="349" t="str">
        <f>IF(ISERROR(B45/B23),"",IF(B45/B23=0,"",(B45/B23)))</f>
        <v/>
      </c>
      <c r="C47" s="349" t="str">
        <f t="shared" ref="C47:U47" si="1">IF(ISERROR(C45/C23),"",IF(C45/C23=0,"",(C45/C23)))</f>
        <v/>
      </c>
      <c r="D47" s="349">
        <f t="shared" si="1"/>
        <v>9.0000000000000036</v>
      </c>
      <c r="E47" s="349">
        <f t="shared" si="1"/>
        <v>1.7021276595744679</v>
      </c>
      <c r="F47" s="349">
        <f t="shared" si="1"/>
        <v>3.6043956043956049</v>
      </c>
      <c r="G47" s="349">
        <f t="shared" si="1"/>
        <v>4.6464075177829516</v>
      </c>
      <c r="H47" s="349">
        <f t="shared" si="1"/>
        <v>5.6469076704692611</v>
      </c>
      <c r="I47" s="349">
        <f t="shared" si="1"/>
        <v>6.3519923107461436</v>
      </c>
      <c r="J47" s="349">
        <f t="shared" si="1"/>
        <v>7.6029443062313122</v>
      </c>
      <c r="K47" s="349">
        <f t="shared" si="1"/>
        <v>10.182689427972431</v>
      </c>
      <c r="L47" s="349">
        <f t="shared" si="1"/>
        <v>17.939709390587666</v>
      </c>
      <c r="M47" s="349" t="str">
        <f t="shared" si="1"/>
        <v/>
      </c>
      <c r="N47" s="349" t="str">
        <f t="shared" si="1"/>
        <v/>
      </c>
      <c r="O47" s="349" t="str">
        <f t="shared" si="1"/>
        <v/>
      </c>
      <c r="P47" s="349" t="str">
        <f t="shared" si="1"/>
        <v/>
      </c>
      <c r="Q47" s="349" t="str">
        <f t="shared" si="1"/>
        <v/>
      </c>
      <c r="R47" s="349" t="str">
        <f t="shared" si="1"/>
        <v/>
      </c>
      <c r="S47" s="349" t="str">
        <f t="shared" si="1"/>
        <v/>
      </c>
      <c r="T47" s="349" t="str">
        <f t="shared" si="1"/>
        <v/>
      </c>
      <c r="U47" s="349" t="str">
        <f t="shared" si="1"/>
        <v/>
      </c>
      <c r="V47" s="615"/>
    </row>
    <row r="48" spans="1:22" s="355" customFormat="1" ht="11.1" customHeight="1" x14ac:dyDescent="0.2">
      <c r="A48" s="356"/>
      <c r="B48" s="358" t="str">
        <f>IF(INPUT!C62="","",CONCATENATE("(",INPUT!C62,")"))</f>
        <v/>
      </c>
      <c r="C48" s="358" t="str">
        <f>IF(INPUT!D62="","",CONCATENATE("(",INPUT!D62,")"))</f>
        <v/>
      </c>
      <c r="D48" s="358" t="str">
        <f>IF(INPUT!E62="","",CONCATENATE("(",INPUT!E62,")"))</f>
        <v/>
      </c>
      <c r="E48" s="358" t="str">
        <f>IF(INPUT!F62="","",CONCATENATE("(",INPUT!F62,")"))</f>
        <v/>
      </c>
      <c r="F48" s="358" t="str">
        <f>IF(INPUT!G62="","",CONCATENATE("(",INPUT!G62,")"))</f>
        <v/>
      </c>
      <c r="G48" s="358" t="str">
        <f>IF(INPUT!H62="","",CONCATENATE("(",INPUT!H62,")"))</f>
        <v/>
      </c>
      <c r="H48" s="358" t="str">
        <f>IF(INPUT!I62="","",CONCATENATE("(",INPUT!I62,")"))</f>
        <v/>
      </c>
      <c r="I48" s="358" t="str">
        <f>IF(INPUT!J62="","",CONCATENATE("(",INPUT!J62,")"))</f>
        <v/>
      </c>
      <c r="J48" s="358" t="str">
        <f>IF(INPUT!K62="","",CONCATENATE("(",INPUT!K62,")"))</f>
        <v/>
      </c>
      <c r="K48" s="358" t="str">
        <f>IF(INPUT!L62="","",CONCATENATE("(",INPUT!L62,")"))</f>
        <v/>
      </c>
      <c r="L48" s="358" t="str">
        <f>IF(INPUT!M62="","",CONCATENATE("(",INPUT!M62,")"))</f>
        <v/>
      </c>
      <c r="M48" s="358" t="str">
        <f>IF(INPUT!N62="","",CONCATENATE("(",INPUT!N62,")"))</f>
        <v/>
      </c>
      <c r="N48" s="358" t="str">
        <f>IF(INPUT!O62="","",CONCATENATE("(",INPUT!O62,")"))</f>
        <v/>
      </c>
      <c r="O48" s="358" t="str">
        <f>IF(INPUT!P62="","",CONCATENATE("(",INPUT!P62,")"))</f>
        <v/>
      </c>
      <c r="P48" s="358" t="str">
        <f>IF(INPUT!Q62="","",CONCATENATE("(",INPUT!Q62,")"))</f>
        <v/>
      </c>
      <c r="Q48" s="358" t="str">
        <f>IF(INPUT!R62="","",CONCATENATE("(",INPUT!R62,")"))</f>
        <v/>
      </c>
      <c r="R48" s="358" t="str">
        <f>IF(INPUT!S62="","",CONCATENATE("(",INPUT!S62,")"))</f>
        <v/>
      </c>
      <c r="S48" s="358" t="str">
        <f>IF(INPUT!T62="","",CONCATENATE("(",INPUT!T62,")"))</f>
        <v/>
      </c>
      <c r="T48" s="358" t="str">
        <f>IF(INPUT!U62="","",CONCATENATE("(",INPUT!U62,")"))</f>
        <v/>
      </c>
      <c r="U48" s="358" t="str">
        <f>IF(INPUT!V62="","",CONCATENATE("(",INPUT!V62,")"))</f>
        <v/>
      </c>
      <c r="V48" s="615"/>
    </row>
    <row r="49" spans="1:22" s="355" customFormat="1" ht="11.1" hidden="1" customHeight="1" x14ac:dyDescent="0.2">
      <c r="A49" s="354" t="s">
        <v>48</v>
      </c>
      <c r="B49" s="349" t="str">
        <f>IF(ISERROR(B45/B23),"",IF(B45/B23=0,"",B45/B23))</f>
        <v/>
      </c>
      <c r="C49" s="349" t="str">
        <f t="shared" ref="C49:U49" si="2">IF(ISERROR(C45/C23),"",IF(C45/C23=0,"",C45/C23))</f>
        <v/>
      </c>
      <c r="D49" s="349">
        <f t="shared" si="2"/>
        <v>9.0000000000000036</v>
      </c>
      <c r="E49" s="349">
        <f t="shared" si="2"/>
        <v>1.7021276595744679</v>
      </c>
      <c r="F49" s="349">
        <f t="shared" si="2"/>
        <v>3.6043956043956049</v>
      </c>
      <c r="G49" s="349">
        <f t="shared" si="2"/>
        <v>4.6464075177829516</v>
      </c>
      <c r="H49" s="349">
        <f t="shared" si="2"/>
        <v>5.6469076704692611</v>
      </c>
      <c r="I49" s="349">
        <f t="shared" si="2"/>
        <v>6.3519923107461436</v>
      </c>
      <c r="J49" s="349">
        <f t="shared" si="2"/>
        <v>7.6029443062313122</v>
      </c>
      <c r="K49" s="349">
        <f t="shared" si="2"/>
        <v>10.182689427972431</v>
      </c>
      <c r="L49" s="349">
        <f t="shared" si="2"/>
        <v>17.939709390587666</v>
      </c>
      <c r="M49" s="349" t="str">
        <f t="shared" si="2"/>
        <v/>
      </c>
      <c r="N49" s="349" t="str">
        <f t="shared" si="2"/>
        <v/>
      </c>
      <c r="O49" s="349" t="str">
        <f t="shared" si="2"/>
        <v/>
      </c>
      <c r="P49" s="349" t="str">
        <f t="shared" si="2"/>
        <v/>
      </c>
      <c r="Q49" s="349" t="str">
        <f t="shared" si="2"/>
        <v/>
      </c>
      <c r="R49" s="349" t="str">
        <f t="shared" si="2"/>
        <v/>
      </c>
      <c r="S49" s="349" t="str">
        <f t="shared" si="2"/>
        <v/>
      </c>
      <c r="T49" s="349" t="str">
        <f t="shared" si="2"/>
        <v/>
      </c>
      <c r="U49" s="349" t="str">
        <f t="shared" si="2"/>
        <v/>
      </c>
      <c r="V49" s="615"/>
    </row>
    <row r="50" spans="1:22" s="355" customFormat="1" ht="11.1" hidden="1" customHeight="1" x14ac:dyDescent="0.2">
      <c r="A50" s="356"/>
      <c r="B50" s="358" t="str">
        <f>IF(INPUT!C42="","",CONCATENATE("(",INPUT!C42,")"))</f>
        <v/>
      </c>
      <c r="C50" s="358" t="str">
        <f>IF(INPUT!D42="","",CONCATENATE("(",INPUT!D42,")"))</f>
        <v/>
      </c>
      <c r="D50" s="358" t="str">
        <f>IF(INPUT!E42="","",CONCATENATE("(",INPUT!E42,")"))</f>
        <v/>
      </c>
      <c r="E50" s="358" t="str">
        <f>IF(INPUT!F42="","",CONCATENATE("(",INPUT!F42,")"))</f>
        <v/>
      </c>
      <c r="F50" s="358" t="str">
        <f>IF(INPUT!G42="","",CONCATENATE("(",INPUT!G42,")"))</f>
        <v/>
      </c>
      <c r="G50" s="358" t="str">
        <f>IF(INPUT!H42="","",CONCATENATE("(",INPUT!H42,")"))</f>
        <v/>
      </c>
      <c r="H50" s="358" t="str">
        <f>IF(INPUT!I42="","",CONCATENATE("(",INPUT!I42,")"))</f>
        <v/>
      </c>
      <c r="I50" s="358" t="str">
        <f>IF(INPUT!J42="","",CONCATENATE("(",INPUT!J42,")"))</f>
        <v/>
      </c>
      <c r="J50" s="358" t="str">
        <f>IF(INPUT!K42="","",CONCATENATE("(",INPUT!K42,")"))</f>
        <v/>
      </c>
      <c r="K50" s="358" t="str">
        <f>IF(INPUT!L42="","",CONCATENATE("(",INPUT!L42,")"))</f>
        <v/>
      </c>
      <c r="L50" s="358" t="str">
        <f>IF(INPUT!M42="","",CONCATENATE("(",INPUT!M42,")"))</f>
        <v/>
      </c>
      <c r="M50" s="358" t="str">
        <f>IF(INPUT!N42="","",CONCATENATE("(",INPUT!N42,")"))</f>
        <v/>
      </c>
      <c r="N50" s="358" t="str">
        <f>IF(INPUT!O42="","",CONCATENATE("(",INPUT!O42,")"))</f>
        <v/>
      </c>
      <c r="O50" s="358" t="str">
        <f>IF(INPUT!P42="","",CONCATENATE("(",INPUT!P42,")"))</f>
        <v/>
      </c>
      <c r="P50" s="358" t="str">
        <f>IF(INPUT!Q42="","",CONCATENATE("(",INPUT!Q42,")"))</f>
        <v/>
      </c>
      <c r="Q50" s="358" t="str">
        <f>IF(INPUT!R42="","",CONCATENATE("(",INPUT!R42,")"))</f>
        <v/>
      </c>
      <c r="R50" s="358" t="str">
        <f>IF(INPUT!S42="","",CONCATENATE("(",INPUT!S42,")"))</f>
        <v/>
      </c>
      <c r="S50" s="358" t="str">
        <f>IF(INPUT!T42="","",CONCATENATE("(",INPUT!T42,")"))</f>
        <v/>
      </c>
      <c r="T50" s="358" t="str">
        <f>IF(INPUT!U42="","",CONCATENATE("(",INPUT!U42,")"))</f>
        <v/>
      </c>
      <c r="U50" s="358" t="str">
        <f>IF(INPUT!V42="","",CONCATENATE("(",INPUT!V42,")"))</f>
        <v/>
      </c>
      <c r="V50" s="615"/>
    </row>
    <row r="51" spans="1:22" s="355" customFormat="1" ht="11.1" customHeight="1" x14ac:dyDescent="0.2">
      <c r="A51" s="354" t="s">
        <v>49</v>
      </c>
      <c r="B51" s="349">
        <f>IF(ISERROR(Liab!C84),"",IF(Liab!C84=0,"",Liab!C84))</f>
        <v>0.01</v>
      </c>
      <c r="C51" s="349">
        <f>IF(ISERROR(Liab!D84),"",IF(Liab!D84=0,"",Liab!D84))</f>
        <v>0.01</v>
      </c>
      <c r="D51" s="349">
        <f>IF(ISERROR(Liab!E84),"",IF(Liab!E84=0,"",Liab!E84))</f>
        <v>0.01</v>
      </c>
      <c r="E51" s="349">
        <f>IF(ISERROR(Liab!F84),"",IF(Liab!F84=0,"",Liab!F84))</f>
        <v>8</v>
      </c>
      <c r="F51" s="349">
        <f>IF(ISERROR(Liab!G84),"",IF(Liab!G84=0,"",Liab!G84))</f>
        <v>10.119999999999999</v>
      </c>
      <c r="G51" s="349">
        <f>IF(ISERROR(Liab!H84),"",IF(Liab!H84=0,"",Liab!H84))</f>
        <v>10.119999999999999</v>
      </c>
      <c r="H51" s="349">
        <f>IF(ISERROR(Liab!I84),"",IF(Liab!I84=0,"",Liab!I84))</f>
        <v>10.119999999999999</v>
      </c>
      <c r="I51" s="349">
        <f>IF(ISERROR(Liab!J84),"",IF(Liab!J84=0,"",Liab!J84))</f>
        <v>10.119999999999999</v>
      </c>
      <c r="J51" s="349">
        <f>IF(ISERROR(Liab!K84),"",IF(Liab!K84=0,"",Liab!K84))</f>
        <v>10.119999999999999</v>
      </c>
      <c r="K51" s="349">
        <f>IF(ISERROR(Liab!L84),"",IF(Liab!L84=0,"",Liab!L84))</f>
        <v>10.119999999999999</v>
      </c>
      <c r="L51" s="349">
        <f>IF(ISERROR(Liab!M84),"",IF(Liab!M84=0,"",Liab!M84))</f>
        <v>10.119999999999999</v>
      </c>
      <c r="M51" s="349" t="str">
        <f>IF(ISERROR(Liab!N84),"",IF(Liab!N84=0,"",Liab!N84))</f>
        <v/>
      </c>
      <c r="N51" s="349" t="str">
        <f>IF(ISERROR(Liab!O84),"",IF(Liab!O84=0,"",Liab!O84))</f>
        <v/>
      </c>
      <c r="O51" s="349" t="str">
        <f>IF(ISERROR(Liab!P84),"",IF(Liab!P84=0,"",Liab!P84))</f>
        <v/>
      </c>
      <c r="P51" s="349" t="str">
        <f>IF(ISERROR(Liab!Q84),"",IF(Liab!Q84=0,"",Liab!Q84))</f>
        <v/>
      </c>
      <c r="Q51" s="349" t="str">
        <f>IF(ISERROR(Liab!R84),"",IF(Liab!R84=0,"",Liab!R84))</f>
        <v/>
      </c>
      <c r="R51" s="349" t="str">
        <f>IF(ISERROR(Liab!S84),"",IF(Liab!S84=0,"",Liab!S84))</f>
        <v/>
      </c>
      <c r="S51" s="349" t="str">
        <f>IF(ISERROR(Liab!T84),"",IF(Liab!T84=0,"",Liab!T84))</f>
        <v/>
      </c>
      <c r="T51" s="349" t="str">
        <f>IF(ISERROR(Liab!U84),"",IF(Liab!U84=0,"",Liab!U84))</f>
        <v/>
      </c>
      <c r="U51" s="349" t="str">
        <f>IF(ISERROR(Liab!V84),"",IF(Liab!V84=0,"",Liab!V84))</f>
        <v/>
      </c>
      <c r="V51" s="615"/>
    </row>
    <row r="52" spans="1:22" s="355" customFormat="1" ht="11.1" customHeight="1" x14ac:dyDescent="0.2">
      <c r="A52" s="356"/>
      <c r="B52" s="358" t="str">
        <f>IF(INPUT!C43="","",CONCATENATE("(",INPUT!C43,")"))</f>
        <v/>
      </c>
      <c r="C52" s="358" t="str">
        <f>IF(INPUT!D43="","",CONCATENATE("(",INPUT!D43,")"))</f>
        <v/>
      </c>
      <c r="D52" s="358" t="str">
        <f>IF(INPUT!E43="","",CONCATENATE("(",INPUT!E43,")"))</f>
        <v/>
      </c>
      <c r="E52" s="358" t="str">
        <f>IF(INPUT!F43="","",CONCATENATE("(",INPUT!F43,")"))</f>
        <v/>
      </c>
      <c r="F52" s="358" t="str">
        <f>IF(INPUT!G43="","",CONCATENATE("(",INPUT!G43,")"))</f>
        <v/>
      </c>
      <c r="G52" s="358" t="str">
        <f>IF(INPUT!H43="","",CONCATENATE("(",INPUT!H43,")"))</f>
        <v/>
      </c>
      <c r="H52" s="358" t="str">
        <f>IF(INPUT!I43="","",CONCATENATE("(",INPUT!I43,")"))</f>
        <v/>
      </c>
      <c r="I52" s="358" t="str">
        <f>IF(INPUT!J43="","",CONCATENATE("(",INPUT!J43,")"))</f>
        <v/>
      </c>
      <c r="J52" s="358" t="str">
        <f>IF(INPUT!K43="","",CONCATENATE("(",INPUT!K43,")"))</f>
        <v/>
      </c>
      <c r="K52" s="358" t="str">
        <f>IF(INPUT!L43="","",CONCATENATE("(",INPUT!L43,")"))</f>
        <v/>
      </c>
      <c r="L52" s="358" t="str">
        <f>IF(INPUT!M43="","",CONCATENATE("(",INPUT!M43,")"))</f>
        <v/>
      </c>
      <c r="M52" s="358" t="str">
        <f>IF(INPUT!N43="","",CONCATENATE("(",INPUT!N43,")"))</f>
        <v/>
      </c>
      <c r="N52" s="358" t="str">
        <f>IF(INPUT!O43="","",CONCATENATE("(",INPUT!O43,")"))</f>
        <v/>
      </c>
      <c r="O52" s="358" t="str">
        <f>IF(INPUT!P43="","",CONCATENATE("(",INPUT!P43,")"))</f>
        <v/>
      </c>
      <c r="P52" s="358" t="str">
        <f>IF(INPUT!Q43="","",CONCATENATE("(",INPUT!Q43,")"))</f>
        <v/>
      </c>
      <c r="Q52" s="358" t="str">
        <f>IF(INPUT!R43="","",CONCATENATE("(",INPUT!R43,")"))</f>
        <v/>
      </c>
      <c r="R52" s="358" t="str">
        <f>IF(INPUT!S43="","",CONCATENATE("(",INPUT!S43,")"))</f>
        <v/>
      </c>
      <c r="S52" s="358" t="str">
        <f>IF(INPUT!T43="","",CONCATENATE("(",INPUT!T43,")"))</f>
        <v/>
      </c>
      <c r="T52" s="358" t="str">
        <f>IF(INPUT!U43="","",CONCATENATE("(",INPUT!U43,")"))</f>
        <v/>
      </c>
      <c r="U52" s="358" t="str">
        <f>IF(INPUT!V43="","",CONCATENATE("(",INPUT!V43,")"))</f>
        <v/>
      </c>
      <c r="V52" s="615"/>
    </row>
    <row r="53" spans="1:22" s="355" customFormat="1" ht="11.1" customHeight="1" x14ac:dyDescent="0.2">
      <c r="A53" s="354" t="s">
        <v>50</v>
      </c>
      <c r="B53" s="349">
        <f>IF(ISERROR(Liab!C101-Asset!C89-Asset!C85-Liab!C88),"",IF(Liab!C101-Asset!C89-Asset!C85-Liab!C88=0,"",Liab!C101-Asset!C89-Asset!C85-Liab!C88))</f>
        <v>7.9999999999999974E-2</v>
      </c>
      <c r="C53" s="349">
        <f>IF(ISERROR(Liab!D101-Asset!D89-Asset!D85-Liab!D88),"",IF(Liab!D101-Asset!D89-Asset!D85-Liab!D88=0,"",Liab!D101-Asset!D89-Asset!D85-Liab!D88))</f>
        <v>0.16999999999999998</v>
      </c>
      <c r="D53" s="349">
        <f>IF(ISERROR(Liab!E101-Asset!E89-Asset!E85-Liab!E88),"",IF(Liab!E101-Asset!E89-Asset!E85-Liab!E88=0,"",Liab!E101-Asset!E89-Asset!E85-Liab!E88))</f>
        <v>0.44000000000000017</v>
      </c>
      <c r="E53" s="349">
        <f>IF(ISERROR(Liab!F101-Asset!F89-Asset!F85-Liab!F88),"",IF(Liab!F101-Asset!F89-Asset!F85-Liab!F88=0,"",Liab!F101-Asset!F89-Asset!F85-Liab!F88))</f>
        <v>8.5670000000000002</v>
      </c>
      <c r="F53" s="349">
        <f>IF(ISERROR(Liab!G101-Asset!G89-Asset!G85-Liab!G88),"",IF(Liab!G101-Asset!G89-Asset!G85-Liab!G88=0,"",Liab!G101-Asset!G89-Asset!G85-Liab!G88))</f>
        <v>11.247</v>
      </c>
      <c r="G53" s="349">
        <f>IF(ISERROR(Liab!H101-Asset!H89-Asset!H85-Liab!H88),"",IF(Liab!H101-Asset!H89-Asset!H85-Liab!H88=0,"",Liab!H101-Asset!H89-Asset!H85-Liab!H88))</f>
        <v>12.464507500000002</v>
      </c>
      <c r="H53" s="349">
        <f>IF(ISERROR(Liab!I101-Asset!I89-Asset!I85-Liab!I88),"",IF(Liab!I101-Asset!I89-Asset!I85-Liab!I88=0,"",Liab!I101-Asset!I89-Asset!I85-Liab!I88))</f>
        <v>14.111916500000003</v>
      </c>
      <c r="I53" s="349">
        <f>IF(ISERROR(Liab!J101-Asset!J89-Asset!J85-Liab!J88),"",IF(Liab!J101-Asset!J89-Asset!J85-Liab!J88=0,"",Liab!J101-Asset!J89-Asset!J85-Liab!J88))</f>
        <v>15.953643750000003</v>
      </c>
      <c r="J53" s="349">
        <f>IF(ISERROR(Liab!K101-Asset!K89-Asset!K85-Liab!K88),"",IF(Liab!K101-Asset!K89-Asset!K85-Liab!K88=0,"",Liab!K101-Asset!K89-Asset!K85-Liab!K88))</f>
        <v>17.974723249999997</v>
      </c>
      <c r="K53" s="349">
        <f>IF(ISERROR(Liab!L101-Asset!L89-Asset!L85-Liab!L88),"",IF(Liab!L101-Asset!L89-Asset!L85-Liab!L88=0,"",Liab!L101-Asset!L89-Asset!L85-Liab!L88))</f>
        <v>20.193128250000001</v>
      </c>
      <c r="L53" s="349">
        <f>IF(ISERROR(Liab!M101-Asset!M89-Asset!M85-Liab!M88),"",IF(Liab!M101-Asset!M89-Asset!M85-Liab!M88=0,"",Liab!M101-Asset!M89-Asset!M85-Liab!M88))</f>
        <v>22.742396999999997</v>
      </c>
      <c r="M53" s="349">
        <f>IF(ISERROR(Liab!N101-Asset!N89-Asset!N85-Liab!N88),"",IF(Liab!N101-Asset!N89-Asset!N85-Liab!N88=0,"",Liab!N101-Asset!N89-Asset!N85-Liab!N88))</f>
        <v>12.622396999999999</v>
      </c>
      <c r="N53" s="349">
        <f>IF(ISERROR(Liab!O101-Asset!O89-Asset!O85-Liab!O88),"",IF(Liab!O101-Asset!O89-Asset!O85-Liab!O88=0,"",Liab!O101-Asset!O89-Asset!O85-Liab!O88))</f>
        <v>12.622396999999999</v>
      </c>
      <c r="O53" s="349">
        <f>IF(ISERROR(Liab!P101-Asset!P89-Asset!P85-Liab!P88),"",IF(Liab!P101-Asset!P89-Asset!P85-Liab!P88=0,"",Liab!P101-Asset!P89-Asset!P85-Liab!P88))</f>
        <v>12.622396999999999</v>
      </c>
      <c r="P53" s="349">
        <f>IF(ISERROR(Liab!Q101-Asset!Q89-Asset!Q85-Liab!Q88),"",IF(Liab!Q101-Asset!Q89-Asset!Q85-Liab!Q88=0,"",Liab!Q101-Asset!Q89-Asset!Q85-Liab!Q88))</f>
        <v>12.622396999999999</v>
      </c>
      <c r="Q53" s="349">
        <f>IF(ISERROR(Liab!R101-Asset!R89-Asset!R85-Liab!R88),"",IF(Liab!R101-Asset!R89-Asset!R85-Liab!R88=0,"",Liab!R101-Asset!R89-Asset!R85-Liab!R88))</f>
        <v>12.622396999999999</v>
      </c>
      <c r="R53" s="349">
        <f>IF(ISERROR(Liab!S101-Asset!S89-Asset!S85-Liab!S88),"",IF(Liab!S101-Asset!S89-Asset!S85-Liab!S88=0,"",Liab!S101-Asset!S89-Asset!S85-Liab!S88))</f>
        <v>12.622396999999999</v>
      </c>
      <c r="S53" s="349">
        <f>IF(ISERROR(Liab!T101-Asset!T89-Asset!T85-Liab!T88),"",IF(Liab!T101-Asset!T89-Asset!T85-Liab!T88=0,"",Liab!T101-Asset!T89-Asset!T85-Liab!T88))</f>
        <v>12.622396999999999</v>
      </c>
      <c r="T53" s="349">
        <f>IF(ISERROR(Liab!U101-Asset!U89-Asset!U85-Liab!U88),"",IF(Liab!U101-Asset!U89-Asset!U85-Liab!U88=0,"",Liab!U101-Asset!U89-Asset!U85-Liab!U88))</f>
        <v>12.622396999999999</v>
      </c>
      <c r="U53" s="349">
        <f>IF(ISERROR(Liab!V101-Asset!V89-Asset!V85-Liab!V88),"",IF(Liab!V101-Asset!V89-Asset!V85-Liab!V88=0,"",Liab!V101-Asset!V89-Asset!V85-Liab!V88))</f>
        <v>12.622396999999999</v>
      </c>
      <c r="V53" s="615"/>
    </row>
    <row r="54" spans="1:22" s="355" customFormat="1" ht="11.1" customHeight="1" x14ac:dyDescent="0.2">
      <c r="A54" s="356"/>
      <c r="B54" s="358" t="str">
        <f>IF(INPUT!C44="","",CONCATENATE("(",INPUT!C44,")"))</f>
        <v/>
      </c>
      <c r="C54" s="358" t="str">
        <f>IF(INPUT!D44="","",CONCATENATE("(",INPUT!D44,")"))</f>
        <v/>
      </c>
      <c r="D54" s="358" t="str">
        <f>IF(INPUT!E44="","",CONCATENATE("(",INPUT!E44,")"))</f>
        <v/>
      </c>
      <c r="E54" s="358" t="str">
        <f>IF(INPUT!F44="","",CONCATENATE("(",INPUT!F44,")"))</f>
        <v/>
      </c>
      <c r="F54" s="358" t="str">
        <f>IF(INPUT!G44="","",CONCATENATE("(",INPUT!G44,")"))</f>
        <v/>
      </c>
      <c r="G54" s="358" t="str">
        <f>IF(INPUT!H44="","",CONCATENATE("(",INPUT!H44,")"))</f>
        <v/>
      </c>
      <c r="H54" s="358" t="str">
        <f>IF(INPUT!I44="","",CONCATENATE("(",INPUT!I44,")"))</f>
        <v/>
      </c>
      <c r="I54" s="358" t="str">
        <f>IF(INPUT!J44="","",CONCATENATE("(",INPUT!J44,")"))</f>
        <v/>
      </c>
      <c r="J54" s="358" t="str">
        <f>IF(INPUT!K44="","",CONCATENATE("(",INPUT!K44,")"))</f>
        <v/>
      </c>
      <c r="K54" s="358" t="str">
        <f>IF(INPUT!L44="","",CONCATENATE("(",INPUT!L44,")"))</f>
        <v/>
      </c>
      <c r="L54" s="358" t="str">
        <f>IF(INPUT!M44="","",CONCATENATE("(",INPUT!M44,")"))</f>
        <v/>
      </c>
      <c r="M54" s="358" t="str">
        <f>IF(INPUT!N44="","",CONCATENATE("(",INPUT!N44,")"))</f>
        <v/>
      </c>
      <c r="N54" s="358" t="str">
        <f>IF(INPUT!O44="","",CONCATENATE("(",INPUT!O44,")"))</f>
        <v/>
      </c>
      <c r="O54" s="358" t="str">
        <f>IF(INPUT!P44="","",CONCATENATE("(",INPUT!P44,")"))</f>
        <v/>
      </c>
      <c r="P54" s="358" t="str">
        <f>IF(INPUT!Q44="","",CONCATENATE("(",INPUT!Q44,")"))</f>
        <v/>
      </c>
      <c r="Q54" s="358" t="str">
        <f>IF(INPUT!R44="","",CONCATENATE("(",INPUT!R44,")"))</f>
        <v/>
      </c>
      <c r="R54" s="358" t="str">
        <f>IF(INPUT!S44="","",CONCATENATE("(",INPUT!S44,")"))</f>
        <v/>
      </c>
      <c r="S54" s="358" t="str">
        <f>IF(INPUT!T44="","",CONCATENATE("(",INPUT!T44,")"))</f>
        <v/>
      </c>
      <c r="T54" s="358" t="str">
        <f>IF(INPUT!U44="","",CONCATENATE("(",INPUT!U44,")"))</f>
        <v/>
      </c>
      <c r="U54" s="358" t="str">
        <f>IF(INPUT!V44="","",CONCATENATE("(",INPUT!V44,")"))</f>
        <v/>
      </c>
      <c r="V54" s="615"/>
    </row>
    <row r="55" spans="1:22" s="355" customFormat="1" ht="11.1" customHeight="1" x14ac:dyDescent="0.2">
      <c r="A55" s="354" t="s">
        <v>19</v>
      </c>
      <c r="B55" s="349">
        <f>IF(ISERROR(B53-Asset!C70),"",IF(B53-Asset!C70=0,"",B53-Asset!C70))</f>
        <v>7.9999999999999974E-2</v>
      </c>
      <c r="C55" s="349">
        <f>IF(ISERROR(C53-Asset!D70),"",IF(C53-Asset!D70=0,"",C53-Asset!D70))</f>
        <v>0.16999999999999998</v>
      </c>
      <c r="D55" s="349">
        <f>IF(ISERROR(D53-Asset!E70),"",IF(D53-Asset!E70=0,"",D53-Asset!E70))</f>
        <v>0.44000000000000017</v>
      </c>
      <c r="E55" s="349">
        <f>IF(ISERROR(E53-Asset!F70),"",IF(E53-Asset!F70=0,"",E53-Asset!F70))</f>
        <v>8.5670000000000002</v>
      </c>
      <c r="F55" s="349">
        <f>IF(ISERROR(F53-Asset!G70),"",IF(F53-Asset!G70=0,"",F53-Asset!G70))</f>
        <v>11.247</v>
      </c>
      <c r="G55" s="349">
        <f>IF(ISERROR(G53-Asset!H70),"",IF(G53-Asset!H70=0,"",G53-Asset!H70))</f>
        <v>12.464507500000002</v>
      </c>
      <c r="H55" s="349">
        <f>IF(ISERROR(H53-Asset!I70),"",IF(H53-Asset!I70=0,"",H53-Asset!I70))</f>
        <v>14.111916500000003</v>
      </c>
      <c r="I55" s="349">
        <f>IF(ISERROR(I53-Asset!J70),"",IF(I53-Asset!J70=0,"",I53-Asset!J70))</f>
        <v>15.953643750000003</v>
      </c>
      <c r="J55" s="349">
        <f>IF(ISERROR(J53-Asset!K70),"",IF(J53-Asset!K70=0,"",J53-Asset!K70))</f>
        <v>17.974723249999997</v>
      </c>
      <c r="K55" s="349">
        <f>IF(ISERROR(K53-Asset!L70),"",IF(K53-Asset!L70=0,"",K53-Asset!L70))</f>
        <v>20.193128250000001</v>
      </c>
      <c r="L55" s="349">
        <f>IF(ISERROR(L53-Asset!M70),"",IF(L53-Asset!M70=0,"",L53-Asset!M70))</f>
        <v>22.742396999999997</v>
      </c>
      <c r="M55" s="349">
        <f>IF(ISERROR(M53-Asset!N70),"",IF(M53-Asset!N70=0,"",M53-Asset!N70))</f>
        <v>12.622396999999999</v>
      </c>
      <c r="N55" s="349">
        <f>IF(ISERROR(N53-Asset!O70),"",IF(N53-Asset!O70=0,"",N53-Asset!O70))</f>
        <v>12.622396999999999</v>
      </c>
      <c r="O55" s="349">
        <f>IF(ISERROR(O53-Asset!P70),"",IF(O53-Asset!P70=0,"",O53-Asset!P70))</f>
        <v>12.622396999999999</v>
      </c>
      <c r="P55" s="349">
        <f>IF(ISERROR(P53-Asset!Q70),"",IF(P53-Asset!Q70=0,"",P53-Asset!Q70))</f>
        <v>12.622396999999999</v>
      </c>
      <c r="Q55" s="349">
        <f>IF(ISERROR(Q53-Asset!R70),"",IF(Q53-Asset!R70=0,"",Q53-Asset!R70))</f>
        <v>12.622396999999999</v>
      </c>
      <c r="R55" s="349">
        <f>IF(ISERROR(R53-Asset!S70),"",IF(R53-Asset!S70=0,"",R53-Asset!S70))</f>
        <v>12.622396999999999</v>
      </c>
      <c r="S55" s="349">
        <f>IF(ISERROR(S53-Asset!T70),"",IF(S53-Asset!T70=0,"",S53-Asset!T70))</f>
        <v>12.622396999999999</v>
      </c>
      <c r="T55" s="349">
        <f>IF(ISERROR(T53-Asset!U70),"",IF(T53-Asset!U70=0,"",T53-Asset!U70))</f>
        <v>12.622396999999999</v>
      </c>
      <c r="U55" s="349">
        <f>IF(ISERROR(U53-Asset!V70),"",IF(U53-Asset!V70=0,"",U53-Asset!V70))</f>
        <v>12.622396999999999</v>
      </c>
      <c r="V55" s="615"/>
    </row>
    <row r="56" spans="1:22" s="355" customFormat="1" ht="11.1" customHeight="1" x14ac:dyDescent="0.2">
      <c r="A56" s="356"/>
      <c r="B56" s="358" t="str">
        <f>IF(INPUT!C45="","",CONCATENATE("(",INPUT!C45,")"))</f>
        <v/>
      </c>
      <c r="C56" s="358" t="str">
        <f>IF(INPUT!D45="","",CONCATENATE("(",INPUT!D45,")"))</f>
        <v/>
      </c>
      <c r="D56" s="358" t="str">
        <f>IF(INPUT!E45="","",CONCATENATE("(",INPUT!E45,")"))</f>
        <v/>
      </c>
      <c r="E56" s="358" t="str">
        <f>IF(INPUT!F45="","",CONCATENATE("(",INPUT!F45,")"))</f>
        <v/>
      </c>
      <c r="F56" s="358" t="str">
        <f>IF(INPUT!G45="","",CONCATENATE("(",INPUT!G45,")"))</f>
        <v/>
      </c>
      <c r="G56" s="358" t="str">
        <f>IF(INPUT!H45="","",CONCATENATE("(",INPUT!H45,")"))</f>
        <v/>
      </c>
      <c r="H56" s="358" t="str">
        <f>IF(INPUT!I45="","",CONCATENATE("(",INPUT!I45,")"))</f>
        <v/>
      </c>
      <c r="I56" s="358" t="str">
        <f>IF(INPUT!J45="","",CONCATENATE("(",INPUT!J45,")"))</f>
        <v/>
      </c>
      <c r="J56" s="358" t="str">
        <f>IF(INPUT!K45="","",CONCATENATE("(",INPUT!K45,")"))</f>
        <v/>
      </c>
      <c r="K56" s="358" t="str">
        <f>IF(INPUT!L45="","",CONCATENATE("(",INPUT!L45,")"))</f>
        <v/>
      </c>
      <c r="L56" s="358" t="str">
        <f>IF(INPUT!M45="","",CONCATENATE("(",INPUT!M45,")"))</f>
        <v/>
      </c>
      <c r="M56" s="358" t="str">
        <f>IF(INPUT!N45="","",CONCATENATE("(",INPUT!N45,")"))</f>
        <v/>
      </c>
      <c r="N56" s="358" t="str">
        <f>IF(INPUT!O45="","",CONCATENATE("(",INPUT!O45,")"))</f>
        <v/>
      </c>
      <c r="O56" s="358" t="str">
        <f>IF(INPUT!P45="","",CONCATENATE("(",INPUT!P45,")"))</f>
        <v/>
      </c>
      <c r="P56" s="358" t="str">
        <f>IF(INPUT!Q45="","",CONCATENATE("(",INPUT!Q45,")"))</f>
        <v/>
      </c>
      <c r="Q56" s="358" t="str">
        <f>IF(INPUT!R45="","",CONCATENATE("(",INPUT!R45,")"))</f>
        <v/>
      </c>
      <c r="R56" s="358" t="str">
        <f>IF(INPUT!S45="","",CONCATENATE("(",INPUT!S45,")"))</f>
        <v/>
      </c>
      <c r="S56" s="358" t="str">
        <f>IF(INPUT!T45="","",CONCATENATE("(",INPUT!T45,")"))</f>
        <v/>
      </c>
      <c r="T56" s="358" t="str">
        <f>IF(INPUT!U45="","",CONCATENATE("(",INPUT!U45,")"))</f>
        <v/>
      </c>
      <c r="U56" s="358" t="str">
        <f>IF(INPUT!V45="","",CONCATENATE("(",INPUT!V45,")"))</f>
        <v/>
      </c>
      <c r="V56" s="615"/>
    </row>
    <row r="57" spans="1:22" s="355" customFormat="1" ht="11.1" customHeight="1" x14ac:dyDescent="0.2">
      <c r="A57" s="354" t="s">
        <v>20</v>
      </c>
      <c r="B57" s="349">
        <f>IF(ISERROR(Liab!C80/'CRA Validation'!B53),"",IF(Liab!C80/'CRA Validation'!B53=0,"",Liab!C80/'CRA Validation'!B53))</f>
        <v>2.5000000000000009</v>
      </c>
      <c r="C57" s="349">
        <f>IF(ISERROR(Liab!D80/'CRA Validation'!C53),"",IF(Liab!D80/'CRA Validation'!C53=0,"",Liab!D80/'CRA Validation'!C53))</f>
        <v>1.5882352941176474</v>
      </c>
      <c r="D57" s="349">
        <f>IF(ISERROR(Liab!E80/'CRA Validation'!D53),"",IF(Liab!E80/'CRA Validation'!D53=0,"",Liab!E80/'CRA Validation'!D53))</f>
        <v>10.02272727272727</v>
      </c>
      <c r="E57" s="349">
        <f>IF(ISERROR(Liab!F80/'CRA Validation'!E53),"",IF(Liab!F80/'CRA Validation'!E53=0,"",Liab!F80/'CRA Validation'!E53))</f>
        <v>0.77074821991362197</v>
      </c>
      <c r="F57" s="349">
        <f>IF(ISERROR(Liab!G80/'CRA Validation'!F53),"",IF(Liab!G80/'CRA Validation'!F53=0,"",Liab!G80/'CRA Validation'!F53))</f>
        <v>1.3763670312083223</v>
      </c>
      <c r="G57" s="349">
        <f>IF(ISERROR(Liab!H80/'CRA Validation'!G53),"",IF(Liab!H80/'CRA Validation'!G53=0,"",Liab!H80/'CRA Validation'!G53))</f>
        <v>1.2012682811575188</v>
      </c>
      <c r="H57" s="349">
        <f>IF(ISERROR(Liab!I80/'CRA Validation'!H53),"",IF(Liab!I80/'CRA Validation'!H53=0,"",Liab!I80/'CRA Validation'!H53))</f>
        <v>0.97133943500870412</v>
      </c>
      <c r="I57" s="349">
        <f>IF(ISERROR(Liab!J80/'CRA Validation'!I53),"",IF(Liab!J80/'CRA Validation'!I53=0,"",Liab!J80/'CRA Validation'!I53))</f>
        <v>0.71900441239325075</v>
      </c>
      <c r="J57" s="349">
        <f>IF(ISERROR(Liab!K80/'CRA Validation'!J53),"",IF(Liab!K80/'CRA Validation'!J53=0,"",Liab!K80/'CRA Validation'!J53))</f>
        <v>0.50891495645141649</v>
      </c>
      <c r="K57" s="349">
        <f>IF(ISERROR(Liab!L80/'CRA Validation'!K53),"",IF(Liab!L80/'CRA Validation'!K53=0,"",Liab!L80/'CRA Validation'!K53))</f>
        <v>0.32638553662432224</v>
      </c>
      <c r="L57" s="349">
        <f>IF(ISERROR(Liab!M80/'CRA Validation'!L53),"",IF(Liab!M80/'CRA Validation'!L53=0,"",Liab!M80/'CRA Validation'!L53))</f>
        <v>0.1535697292594092</v>
      </c>
      <c r="M57" s="349" t="str">
        <f>IF(ISERROR(Liab!N80/'CRA Validation'!M53),"",IF(Liab!N80/'CRA Validation'!M53=0,"",Liab!N80/'CRA Validation'!M53))</f>
        <v/>
      </c>
      <c r="N57" s="349" t="str">
        <f>IF(ISERROR(Liab!O80/'CRA Validation'!N53),"",IF(Liab!O80/'CRA Validation'!N53=0,"",Liab!O80/'CRA Validation'!N53))</f>
        <v/>
      </c>
      <c r="O57" s="349" t="str">
        <f>IF(ISERROR(Liab!P80/'CRA Validation'!O53),"",IF(Liab!P80/'CRA Validation'!O53=0,"",Liab!P80/'CRA Validation'!O53))</f>
        <v/>
      </c>
      <c r="P57" s="349" t="str">
        <f>IF(ISERROR(Liab!Q80/'CRA Validation'!P53),"",IF(Liab!Q80/'CRA Validation'!P53=0,"",Liab!Q80/'CRA Validation'!P53))</f>
        <v/>
      </c>
      <c r="Q57" s="349" t="str">
        <f>IF(ISERROR(Liab!R80/'CRA Validation'!Q53),"",IF(Liab!R80/'CRA Validation'!Q53=0,"",Liab!R80/'CRA Validation'!Q53))</f>
        <v/>
      </c>
      <c r="R57" s="349" t="str">
        <f>IF(ISERROR(Liab!S80/'CRA Validation'!R53),"",IF(Liab!S80/'CRA Validation'!R53=0,"",Liab!S80/'CRA Validation'!R53))</f>
        <v/>
      </c>
      <c r="S57" s="349" t="str">
        <f>IF(ISERROR(Liab!T80/'CRA Validation'!S53),"",IF(Liab!T80/'CRA Validation'!S53=0,"",Liab!T80/'CRA Validation'!S53))</f>
        <v/>
      </c>
      <c r="T57" s="349" t="str">
        <f>IF(ISERROR(Liab!U80/'CRA Validation'!T53),"",IF(Liab!U80/'CRA Validation'!T53=0,"",Liab!U80/'CRA Validation'!T53))</f>
        <v/>
      </c>
      <c r="U57" s="349" t="str">
        <f>IF(ISERROR(Liab!V80/'CRA Validation'!U53),"",IF(Liab!V80/'CRA Validation'!U53=0,"",Liab!V80/'CRA Validation'!U53))</f>
        <v/>
      </c>
      <c r="V57" s="615"/>
    </row>
    <row r="58" spans="1:22" s="355" customFormat="1" ht="11.1" customHeight="1" x14ac:dyDescent="0.2">
      <c r="A58" s="356"/>
      <c r="B58" s="358" t="str">
        <f>IF(INPUT!C46="","",CONCATENATE("(",INPUT!C46,")"))</f>
        <v/>
      </c>
      <c r="C58" s="358" t="str">
        <f>IF(INPUT!D46="","",CONCATENATE("(",INPUT!D46,")"))</f>
        <v/>
      </c>
      <c r="D58" s="358" t="str">
        <f>IF(INPUT!E46="","",CONCATENATE("(",INPUT!E46,")"))</f>
        <v/>
      </c>
      <c r="E58" s="358" t="str">
        <f>IF(INPUT!F46="","",CONCATENATE("(",INPUT!F46,")"))</f>
        <v/>
      </c>
      <c r="F58" s="358" t="str">
        <f>IF(INPUT!G46="","",CONCATENATE("(",INPUT!G46,")"))</f>
        <v/>
      </c>
      <c r="G58" s="358" t="str">
        <f>IF(INPUT!H46="","",CONCATENATE("(",INPUT!H46,")"))</f>
        <v/>
      </c>
      <c r="H58" s="358" t="str">
        <f>IF(INPUT!I46="","",CONCATENATE("(",INPUT!I46,")"))</f>
        <v/>
      </c>
      <c r="I58" s="358" t="str">
        <f>IF(INPUT!J46="","",CONCATENATE("(",INPUT!J46,")"))</f>
        <v/>
      </c>
      <c r="J58" s="358" t="str">
        <f>IF(INPUT!K46="","",CONCATENATE("(",INPUT!K46,")"))</f>
        <v/>
      </c>
      <c r="K58" s="358" t="str">
        <f>IF(INPUT!L46="","",CONCATENATE("(",INPUT!L46,")"))</f>
        <v/>
      </c>
      <c r="L58" s="358" t="str">
        <f>IF(INPUT!M46="","",CONCATENATE("(",INPUT!M46,")"))</f>
        <v/>
      </c>
      <c r="M58" s="358" t="str">
        <f>IF(INPUT!N46="","",CONCATENATE("(",INPUT!N46,")"))</f>
        <v/>
      </c>
      <c r="N58" s="358" t="str">
        <f>IF(INPUT!O46="","",CONCATENATE("(",INPUT!O46,")"))</f>
        <v/>
      </c>
      <c r="O58" s="358" t="str">
        <f>IF(INPUT!P46="","",CONCATENATE("(",INPUT!P46,")"))</f>
        <v/>
      </c>
      <c r="P58" s="358" t="str">
        <f>IF(INPUT!Q46="","",CONCATENATE("(",INPUT!Q46,")"))</f>
        <v/>
      </c>
      <c r="Q58" s="358" t="str">
        <f>IF(INPUT!R46="","",CONCATENATE("(",INPUT!R46,")"))</f>
        <v/>
      </c>
      <c r="R58" s="358" t="str">
        <f>IF(INPUT!S46="","",CONCATENATE("(",INPUT!S46,")"))</f>
        <v/>
      </c>
      <c r="S58" s="358" t="str">
        <f>IF(INPUT!T46="","",CONCATENATE("(",INPUT!T46,")"))</f>
        <v/>
      </c>
      <c r="T58" s="358" t="str">
        <f>IF(INPUT!U46="","",CONCATENATE("(",INPUT!U46,")"))</f>
        <v/>
      </c>
      <c r="U58" s="358" t="str">
        <f>IF(INPUT!V46="","",CONCATENATE("(",INPUT!V46,")"))</f>
        <v/>
      </c>
      <c r="V58" s="615"/>
    </row>
    <row r="59" spans="1:22" s="355" customFormat="1" ht="11.1" customHeight="1" x14ac:dyDescent="0.2">
      <c r="A59" s="354" t="s">
        <v>51</v>
      </c>
      <c r="B59" s="349">
        <f>IF(ISERROR((Liab!C80+Liab!C99)/'CRA Validation'!B55),"",IF((Liab!C80+Liab!C99)/'CRA Validation'!B55=0,"",(Liab!C80+Liab!C99)/'CRA Validation'!B55))</f>
        <v>2.5000000000000009</v>
      </c>
      <c r="C59" s="349">
        <f>IF(ISERROR((Liab!D80+Liab!D99)/'CRA Validation'!C55),"",IF((Liab!D80+Liab!D99)/'CRA Validation'!C55=0,"",(Liab!D80+Liab!D99)/'CRA Validation'!C55))</f>
        <v>1.5882352941176474</v>
      </c>
      <c r="D59" s="349">
        <f>IF(ISERROR((Liab!E80+Liab!E99)/'CRA Validation'!D55),"",IF((Liab!E80+Liab!E99)/'CRA Validation'!D55=0,"",(Liab!E80+Liab!E99)/'CRA Validation'!D55))</f>
        <v>10.02272727272727</v>
      </c>
      <c r="E59" s="349">
        <f>IF(ISERROR((Liab!F80+Liab!F99)/'CRA Validation'!E55),"",IF((Liab!F80+Liab!F99)/'CRA Validation'!E55=0,"",(Liab!F80+Liab!F99)/'CRA Validation'!E55))</f>
        <v>0.77074821991362197</v>
      </c>
      <c r="F59" s="349">
        <f>IF(ISERROR((Liab!G80+Liab!G99)/'CRA Validation'!F55),"",IF((Liab!G80+Liab!G99)/'CRA Validation'!F55=0,"",(Liab!G80+Liab!G99)/'CRA Validation'!F55))</f>
        <v>1.3763670312083223</v>
      </c>
      <c r="G59" s="349">
        <f>IF(ISERROR((Liab!H80+Liab!H99)/'CRA Validation'!G55),"",IF((Liab!H80+Liab!H99)/'CRA Validation'!G55=0,"",(Liab!H80+Liab!H99)/'CRA Validation'!G55))</f>
        <v>1.2012682811575188</v>
      </c>
      <c r="H59" s="349">
        <f>IF(ISERROR((Liab!I80+Liab!I99)/'CRA Validation'!H55),"",IF((Liab!I80+Liab!I99)/'CRA Validation'!H55=0,"",(Liab!I80+Liab!I99)/'CRA Validation'!H55))</f>
        <v>0.97133943500870412</v>
      </c>
      <c r="I59" s="349">
        <f>IF(ISERROR((Liab!J80+Liab!J99)/'CRA Validation'!I55),"",IF((Liab!J80+Liab!J99)/'CRA Validation'!I55=0,"",(Liab!J80+Liab!J99)/'CRA Validation'!I55))</f>
        <v>0.71900441239325075</v>
      </c>
      <c r="J59" s="349">
        <f>IF(ISERROR((Liab!K80+Liab!K99)/'CRA Validation'!J55),"",IF((Liab!K80+Liab!K99)/'CRA Validation'!J55=0,"",(Liab!K80+Liab!K99)/'CRA Validation'!J55))</f>
        <v>0.50891495645141649</v>
      </c>
      <c r="K59" s="349">
        <f>IF(ISERROR((Liab!L80+Liab!L99)/'CRA Validation'!K55),"",IF((Liab!L80+Liab!L99)/'CRA Validation'!K55=0,"",(Liab!L80+Liab!L99)/'CRA Validation'!K55))</f>
        <v>0.32638553662432224</v>
      </c>
      <c r="L59" s="349">
        <f>IF(ISERROR((Liab!M80+Liab!M99)/'CRA Validation'!L55),"",IF((Liab!M80+Liab!M99)/'CRA Validation'!L55=0,"",(Liab!M80+Liab!M99)/'CRA Validation'!L55))</f>
        <v>0.1535697292594092</v>
      </c>
      <c r="M59" s="349" t="str">
        <f>IF(ISERROR((Liab!N80+Liab!N99)/'CRA Validation'!M55),"",IF((Liab!N80+Liab!N99)/'CRA Validation'!M55=0,"",(Liab!N80+Liab!N99)/'CRA Validation'!M55))</f>
        <v/>
      </c>
      <c r="N59" s="349" t="str">
        <f>IF(ISERROR((Liab!O80+Liab!O99)/'CRA Validation'!N55),"",IF((Liab!O80+Liab!O99)/'CRA Validation'!N55=0,"",(Liab!O80+Liab!O99)/'CRA Validation'!N55))</f>
        <v/>
      </c>
      <c r="O59" s="349" t="str">
        <f>IF(ISERROR((Liab!P80+Liab!P99)/'CRA Validation'!O55),"",IF((Liab!P80+Liab!P99)/'CRA Validation'!O55=0,"",(Liab!P80+Liab!P99)/'CRA Validation'!O55))</f>
        <v/>
      </c>
      <c r="P59" s="349" t="str">
        <f>IF(ISERROR((Liab!Q80+Liab!Q99)/'CRA Validation'!P55),"",IF((Liab!Q80+Liab!Q99)/'CRA Validation'!P55=0,"",(Liab!Q80+Liab!Q99)/'CRA Validation'!P55))</f>
        <v/>
      </c>
      <c r="Q59" s="349" t="str">
        <f>IF(ISERROR((Liab!R80+Liab!R99)/'CRA Validation'!Q55),"",IF((Liab!R80+Liab!R99)/'CRA Validation'!Q55=0,"",(Liab!R80+Liab!R99)/'CRA Validation'!Q55))</f>
        <v/>
      </c>
      <c r="R59" s="349" t="str">
        <f>IF(ISERROR((Liab!S80+Liab!S99)/'CRA Validation'!R55),"",IF((Liab!S80+Liab!S99)/'CRA Validation'!R55=0,"",(Liab!S80+Liab!S99)/'CRA Validation'!R55))</f>
        <v/>
      </c>
      <c r="S59" s="349" t="str">
        <f>IF(ISERROR((Liab!T80+Liab!T99)/'CRA Validation'!S55),"",IF((Liab!T80+Liab!T99)/'CRA Validation'!S55=0,"",(Liab!T80+Liab!T99)/'CRA Validation'!S55))</f>
        <v/>
      </c>
      <c r="T59" s="349" t="str">
        <f>IF(ISERROR((Liab!U80+Liab!U99)/'CRA Validation'!T55),"",IF((Liab!U80+Liab!U99)/'CRA Validation'!T55=0,"",(Liab!U80+Liab!U99)/'CRA Validation'!T55))</f>
        <v/>
      </c>
      <c r="U59" s="349" t="str">
        <f>IF(ISERROR((Liab!V80+Liab!V99)/'CRA Validation'!U55),"",IF((Liab!V80+Liab!V99)/'CRA Validation'!U55=0,"",(Liab!V80+Liab!V99)/'CRA Validation'!U55))</f>
        <v/>
      </c>
      <c r="V59" s="615"/>
    </row>
    <row r="60" spans="1:22" s="355" customFormat="1" ht="11.1" customHeight="1" x14ac:dyDescent="0.2">
      <c r="A60" s="356"/>
      <c r="B60" s="358" t="str">
        <f>IF(INPUT!C47="","",CONCATENATE("(",INPUT!C47,")"))</f>
        <v/>
      </c>
      <c r="C60" s="358" t="str">
        <f>IF(INPUT!D47="","",CONCATENATE("(",INPUT!D47,")"))</f>
        <v/>
      </c>
      <c r="D60" s="358" t="str">
        <f>IF(INPUT!E47="","",CONCATENATE("(",INPUT!E47,")"))</f>
        <v/>
      </c>
      <c r="E60" s="358" t="str">
        <f>IF(INPUT!F47="","",CONCATENATE("(",INPUT!F47,")"))</f>
        <v/>
      </c>
      <c r="F60" s="358" t="str">
        <f>IF(INPUT!G47="","",CONCATENATE("(",INPUT!G47,")"))</f>
        <v/>
      </c>
      <c r="G60" s="358" t="str">
        <f>IF(INPUT!H47="","",CONCATENATE("(",INPUT!H47,")"))</f>
        <v/>
      </c>
      <c r="H60" s="358" t="str">
        <f>IF(INPUT!I47="","",CONCATENATE("(",INPUT!I47,")"))</f>
        <v/>
      </c>
      <c r="I60" s="358" t="str">
        <f>IF(INPUT!J47="","",CONCATENATE("(",INPUT!J47,")"))</f>
        <v/>
      </c>
      <c r="J60" s="358" t="str">
        <f>IF(INPUT!K47="","",CONCATENATE("(",INPUT!K47,")"))</f>
        <v/>
      </c>
      <c r="K60" s="358" t="str">
        <f>IF(INPUT!L47="","",CONCATENATE("(",INPUT!L47,")"))</f>
        <v/>
      </c>
      <c r="L60" s="358" t="str">
        <f>IF(INPUT!M47="","",CONCATENATE("(",INPUT!M47,")"))</f>
        <v/>
      </c>
      <c r="M60" s="358" t="str">
        <f>IF(INPUT!N47="","",CONCATENATE("(",INPUT!N47,")"))</f>
        <v/>
      </c>
      <c r="N60" s="358" t="str">
        <f>IF(INPUT!O47="","",CONCATENATE("(",INPUT!O47,")"))</f>
        <v/>
      </c>
      <c r="O60" s="358" t="str">
        <f>IF(INPUT!P47="","",CONCATENATE("(",INPUT!P47,")"))</f>
        <v/>
      </c>
      <c r="P60" s="358" t="str">
        <f>IF(INPUT!Q47="","",CONCATENATE("(",INPUT!Q47,")"))</f>
        <v/>
      </c>
      <c r="Q60" s="358" t="str">
        <f>IF(INPUT!R47="","",CONCATENATE("(",INPUT!R47,")"))</f>
        <v/>
      </c>
      <c r="R60" s="358" t="str">
        <f>IF(INPUT!S47="","",CONCATENATE("(",INPUT!S47,")"))</f>
        <v/>
      </c>
      <c r="S60" s="358" t="str">
        <f>IF(INPUT!T47="","",CONCATENATE("(",INPUT!T47,")"))</f>
        <v/>
      </c>
      <c r="T60" s="358" t="str">
        <f>IF(INPUT!U47="","",CONCATENATE("(",INPUT!U47,")"))</f>
        <v/>
      </c>
      <c r="U60" s="358" t="str">
        <f>IF(INPUT!V47="","",CONCATENATE("(",INPUT!V47,")"))</f>
        <v/>
      </c>
      <c r="V60" s="615"/>
    </row>
    <row r="61" spans="1:22" s="355" customFormat="1" ht="11.1" customHeight="1" x14ac:dyDescent="0.2">
      <c r="A61" s="354" t="s">
        <v>323</v>
      </c>
      <c r="B61" s="349">
        <f>IF(ISERROR(Asset!C51/Liab!C47),"",IF(Asset!C51/Liab!C47=0,"",Asset!C51/Liab!C47))</f>
        <v>1.3125</v>
      </c>
      <c r="C61" s="349">
        <f>IF(ISERROR(Asset!D51/Liab!D47),"",IF(Asset!D51/Liab!D47=0,"",Asset!D51/Liab!D47))</f>
        <v>2.4666666666666672</v>
      </c>
      <c r="D61" s="349">
        <f>IF(ISERROR(Asset!E51/Liab!E47),"",IF(Asset!E51/Liab!E47=0,"",Asset!E51/Liab!E47))</f>
        <v>0.55199999999999982</v>
      </c>
      <c r="E61" s="349">
        <f>IF(ISERROR(Asset!F51/Liab!F47),"",IF(Asset!F51/Liab!F47=0,"",Asset!F51/Liab!F47))</f>
        <v>0.63576945929887108</v>
      </c>
      <c r="F61" s="349">
        <f>IF(ISERROR(Asset!G51/Liab!G47),"",IF(Asset!G51/Liab!G47=0,"",Asset!G51/Liab!G47))</f>
        <v>1.3706896551724135</v>
      </c>
      <c r="G61" s="349">
        <f>IF(ISERROR(Asset!H51/Liab!H47),"",IF(Asset!H51/Liab!H47=0,"",Asset!H51/Liab!H47))</f>
        <v>1.7065156370193002</v>
      </c>
      <c r="H61" s="349">
        <f>IF(ISERROR(Asset!I51/Liab!I47),"",IF(Asset!I51/Liab!I47=0,"",Asset!I51/Liab!I47))</f>
        <v>1.9671691695156748</v>
      </c>
      <c r="I61" s="349">
        <f>IF(ISERROR(Asset!J51/Liab!J47),"",IF(Asset!J51/Liab!J47=0,"",Asset!J51/Liab!J47))</f>
        <v>2.2362273179947043</v>
      </c>
      <c r="J61" s="349">
        <f>IF(ISERROR(Asset!K51/Liab!K47),"",IF(Asset!K51/Liab!K47=0,"",Asset!K51/Liab!K47))</f>
        <v>2.4258557457859005</v>
      </c>
      <c r="K61" s="349">
        <f>IF(ISERROR(Asset!L51/Liab!L47),"",IF(Asset!L51/Liab!L47=0,"",Asset!L51/Liab!L47))</f>
        <v>2.4281107446881953</v>
      </c>
      <c r="L61" s="349">
        <f>IF(ISERROR(Asset!M51/Liab!M47),"",IF(Asset!M51/Liab!M47=0,"",Asset!M51/Liab!M47))</f>
        <v>4.7814455617055636</v>
      </c>
      <c r="M61" s="349" t="str">
        <f>IF(ISERROR(Asset!N51/Liab!N47),"",IF(Asset!N51/Liab!N47=0,"",Asset!N51/Liab!N47))</f>
        <v/>
      </c>
      <c r="N61" s="349" t="str">
        <f>IF(ISERROR(Asset!O51/Liab!O47),"",IF(Asset!O51/Liab!O47=0,"",Asset!O51/Liab!O47))</f>
        <v/>
      </c>
      <c r="O61" s="349" t="str">
        <f>IF(ISERROR(Asset!P51/Liab!P47),"",IF(Asset!P51/Liab!P47=0,"",Asset!P51/Liab!P47))</f>
        <v/>
      </c>
      <c r="P61" s="349" t="str">
        <f>IF(ISERROR(Asset!Q51/Liab!Q47),"",IF(Asset!Q51/Liab!Q47=0,"",Asset!Q51/Liab!Q47))</f>
        <v/>
      </c>
      <c r="Q61" s="349" t="str">
        <f>IF(ISERROR(Asset!R51/Liab!R47),"",IF(Asset!R51/Liab!R47=0,"",Asset!R51/Liab!R47))</f>
        <v/>
      </c>
      <c r="R61" s="349" t="str">
        <f>IF(ISERROR(Asset!S51/Liab!S47),"",IF(Asset!S51/Liab!S47=0,"",Asset!S51/Liab!S47))</f>
        <v/>
      </c>
      <c r="S61" s="349" t="str">
        <f>IF(ISERROR(Asset!T51/Liab!T47),"",IF(Asset!T51/Liab!T47=0,"",Asset!T51/Liab!T47))</f>
        <v/>
      </c>
      <c r="T61" s="349" t="str">
        <f>IF(ISERROR(Asset!U51/Liab!U47),"",IF(Asset!U51/Liab!U47=0,"",Asset!U51/Liab!U47))</f>
        <v/>
      </c>
      <c r="U61" s="349" t="str">
        <f>IF(ISERROR(Asset!V51/Liab!V47),"",IF(Asset!V51/Liab!V47=0,"",Asset!V51/Liab!V47))</f>
        <v/>
      </c>
      <c r="V61" s="615"/>
    </row>
    <row r="62" spans="1:22" s="355" customFormat="1" ht="11.1" customHeight="1" x14ac:dyDescent="0.2">
      <c r="A62" s="356"/>
      <c r="B62" s="358" t="str">
        <f>IF(INPUT!C48="","",CONCATENATE("(",INPUT!C48,")"))</f>
        <v/>
      </c>
      <c r="C62" s="358" t="str">
        <f>IF(INPUT!D48="","",CONCATENATE("(",INPUT!D48,")"))</f>
        <v/>
      </c>
      <c r="D62" s="358" t="str">
        <f>IF(INPUT!E48="","",CONCATENATE("(",INPUT!E48,")"))</f>
        <v/>
      </c>
      <c r="E62" s="358" t="str">
        <f>IF(INPUT!F48="","",CONCATENATE("(",INPUT!F48,")"))</f>
        <v/>
      </c>
      <c r="F62" s="358" t="str">
        <f>IF(INPUT!G48="","",CONCATENATE("(",INPUT!G48,")"))</f>
        <v/>
      </c>
      <c r="G62" s="358" t="str">
        <f>IF(INPUT!H48="","",CONCATENATE("(",INPUT!H48,")"))</f>
        <v/>
      </c>
      <c r="H62" s="358" t="str">
        <f>IF(INPUT!I48="","",CONCATENATE("(",INPUT!I48,")"))</f>
        <v/>
      </c>
      <c r="I62" s="358" t="str">
        <f>IF(INPUT!J48="","",CONCATENATE("(",INPUT!J48,")"))</f>
        <v/>
      </c>
      <c r="J62" s="358" t="str">
        <f>IF(INPUT!K48="","",CONCATENATE("(",INPUT!K48,")"))</f>
        <v/>
      </c>
      <c r="K62" s="358" t="str">
        <f>IF(INPUT!L48="","",CONCATENATE("(",INPUT!L48,")"))</f>
        <v/>
      </c>
      <c r="L62" s="358" t="str">
        <f>IF(INPUT!M48="","",CONCATENATE("(",INPUT!M48,")"))</f>
        <v/>
      </c>
      <c r="M62" s="358" t="str">
        <f>IF(INPUT!N48="","",CONCATENATE("(",INPUT!N48,")"))</f>
        <v/>
      </c>
      <c r="N62" s="358" t="str">
        <f>IF(INPUT!O48="","",CONCATENATE("(",INPUT!O48,")"))</f>
        <v/>
      </c>
      <c r="O62" s="358" t="str">
        <f>IF(INPUT!P48="","",CONCATENATE("(",INPUT!P48,")"))</f>
        <v/>
      </c>
      <c r="P62" s="358" t="str">
        <f>IF(INPUT!Q48="","",CONCATENATE("(",INPUT!Q48,")"))</f>
        <v/>
      </c>
      <c r="Q62" s="358" t="str">
        <f>IF(INPUT!R48="","",CONCATENATE("(",INPUT!R48,")"))</f>
        <v/>
      </c>
      <c r="R62" s="358" t="str">
        <f>IF(INPUT!S48="","",CONCATENATE("(",INPUT!S48,")"))</f>
        <v/>
      </c>
      <c r="S62" s="358" t="str">
        <f>IF(INPUT!T48="","",CONCATENATE("(",INPUT!T48,")"))</f>
        <v/>
      </c>
      <c r="T62" s="358" t="str">
        <f>IF(INPUT!U48="","",CONCATENATE("(",INPUT!U48,")"))</f>
        <v/>
      </c>
      <c r="U62" s="358" t="str">
        <f>IF(INPUT!V48="","",CONCATENATE("(",INPUT!V48,")"))</f>
        <v/>
      </c>
      <c r="V62" s="615"/>
    </row>
    <row r="63" spans="1:22" s="355" customFormat="1" ht="11.1" customHeight="1" x14ac:dyDescent="0.2">
      <c r="A63" s="354" t="s">
        <v>27</v>
      </c>
      <c r="B63" s="349">
        <f>IF(ISERROR(B216),"",IF(B216=0,"",B216))</f>
        <v>46.43</v>
      </c>
      <c r="C63" s="349">
        <f t="shared" ref="C63:U63" si="3">IF(ISERROR(C216),"",IF(C216=0,"",C216))</f>
        <v>34.090000000000003</v>
      </c>
      <c r="D63" s="349">
        <f t="shared" si="3"/>
        <v>9.2799999999999994</v>
      </c>
      <c r="E63" s="349">
        <f t="shared" si="3"/>
        <v>5.25</v>
      </c>
      <c r="F63" s="349">
        <f t="shared" si="3"/>
        <v>12.23</v>
      </c>
      <c r="G63" s="349">
        <f t="shared" si="3"/>
        <v>19.420000000000002</v>
      </c>
      <c r="H63" s="349">
        <f t="shared" si="3"/>
        <v>19.559999999999999</v>
      </c>
      <c r="I63" s="349">
        <f t="shared" si="3"/>
        <v>19.38</v>
      </c>
      <c r="J63" s="349">
        <f t="shared" si="3"/>
        <v>19.100000000000001</v>
      </c>
      <c r="K63" s="349">
        <f t="shared" si="3"/>
        <v>19.04</v>
      </c>
      <c r="L63" s="349">
        <f t="shared" si="3"/>
        <v>19.7</v>
      </c>
      <c r="M63" s="349" t="str">
        <f t="shared" si="3"/>
        <v/>
      </c>
      <c r="N63" s="349" t="str">
        <f t="shared" si="3"/>
        <v/>
      </c>
      <c r="O63" s="349" t="str">
        <f t="shared" si="3"/>
        <v/>
      </c>
      <c r="P63" s="349" t="str">
        <f t="shared" si="3"/>
        <v/>
      </c>
      <c r="Q63" s="349" t="str">
        <f t="shared" si="3"/>
        <v/>
      </c>
      <c r="R63" s="349" t="str">
        <f t="shared" si="3"/>
        <v/>
      </c>
      <c r="S63" s="349" t="str">
        <f t="shared" si="3"/>
        <v/>
      </c>
      <c r="T63" s="349" t="str">
        <f t="shared" si="3"/>
        <v/>
      </c>
      <c r="U63" s="349" t="str">
        <f t="shared" si="3"/>
        <v/>
      </c>
      <c r="V63" s="615"/>
    </row>
    <row r="64" spans="1:22" s="355" customFormat="1" ht="11.1" customHeight="1" x14ac:dyDescent="0.2">
      <c r="A64" s="356"/>
      <c r="B64" s="358" t="str">
        <f>IF(INPUT!C63="","",CONCATENATE("(",INPUT!C63,")"))</f>
        <v/>
      </c>
      <c r="C64" s="358" t="str">
        <f>IF(INPUT!D63="","",CONCATENATE("(",INPUT!D63,")"))</f>
        <v/>
      </c>
      <c r="D64" s="358" t="str">
        <f>IF(INPUT!E63="","",CONCATENATE("(",INPUT!E63,")"))</f>
        <v/>
      </c>
      <c r="E64" s="358" t="str">
        <f>IF(INPUT!F63="","",CONCATENATE("(",INPUT!F63,")"))</f>
        <v/>
      </c>
      <c r="F64" s="358" t="str">
        <f>IF(INPUT!G63="","",CONCATENATE("(",INPUT!G63,")"))</f>
        <v/>
      </c>
      <c r="G64" s="358" t="str">
        <f>IF(INPUT!H63="","",CONCATENATE("(",INPUT!H63,")"))</f>
        <v/>
      </c>
      <c r="H64" s="358" t="str">
        <f>IF(INPUT!I63="","",CONCATENATE("(",INPUT!I63,")"))</f>
        <v/>
      </c>
      <c r="I64" s="358" t="str">
        <f>IF(INPUT!J63="","",CONCATENATE("(",INPUT!J63,")"))</f>
        <v/>
      </c>
      <c r="J64" s="358" t="str">
        <f>IF(INPUT!K63="","",CONCATENATE("(",INPUT!K63,")"))</f>
        <v/>
      </c>
      <c r="K64" s="358" t="str">
        <f>IF(INPUT!L63="","",CONCATENATE("(",INPUT!L63,")"))</f>
        <v/>
      </c>
      <c r="L64" s="358" t="str">
        <f>IF(INPUT!M63="","",CONCATENATE("(",INPUT!M63,")"))</f>
        <v/>
      </c>
      <c r="M64" s="358" t="str">
        <f>IF(INPUT!N63="","",CONCATENATE("(",INPUT!N63,")"))</f>
        <v/>
      </c>
      <c r="N64" s="358" t="str">
        <f>IF(INPUT!O63="","",CONCATENATE("(",INPUT!O63,")"))</f>
        <v/>
      </c>
      <c r="O64" s="358" t="str">
        <f>IF(INPUT!P63="","",CONCATENATE("(",INPUT!P63,")"))</f>
        <v/>
      </c>
      <c r="P64" s="358" t="str">
        <f>IF(INPUT!Q63="","",CONCATENATE("(",INPUT!Q63,")"))</f>
        <v/>
      </c>
      <c r="Q64" s="358" t="str">
        <f>IF(INPUT!R63="","",CONCATENATE("(",INPUT!R63,")"))</f>
        <v/>
      </c>
      <c r="R64" s="358" t="str">
        <f>IF(INPUT!S63="","",CONCATENATE("(",INPUT!S63,")"))</f>
        <v/>
      </c>
      <c r="S64" s="358" t="str">
        <f>IF(INPUT!T63="","",CONCATENATE("(",INPUT!T63,")"))</f>
        <v/>
      </c>
      <c r="T64" s="358" t="str">
        <f>IF(INPUT!U63="","",CONCATENATE("(",INPUT!U63,")"))</f>
        <v/>
      </c>
      <c r="U64" s="358" t="str">
        <f>IF(INPUT!V63="","",CONCATENATE("(",INPUT!V63,")"))</f>
        <v/>
      </c>
      <c r="V64" s="615"/>
    </row>
    <row r="65" spans="1:22" s="937" customFormat="1" ht="26.25" customHeight="1" x14ac:dyDescent="0.2">
      <c r="A65" s="938" t="s">
        <v>397</v>
      </c>
      <c r="B65" s="939">
        <f>IF(ISERROR(B221),"",IF(B221=0,"",B221))</f>
        <v>5</v>
      </c>
      <c r="C65" s="939">
        <f t="shared" ref="C65:U65" si="4">IF(ISERROR(C221),"",IF(C221=0,"",C221))</f>
        <v>35</v>
      </c>
      <c r="D65" s="939">
        <f t="shared" si="4"/>
        <v>48</v>
      </c>
      <c r="E65" s="939">
        <f t="shared" si="4"/>
        <v>55</v>
      </c>
      <c r="F65" s="939">
        <f t="shared" si="4"/>
        <v>82</v>
      </c>
      <c r="G65" s="939">
        <f t="shared" si="4"/>
        <v>78</v>
      </c>
      <c r="H65" s="939">
        <f t="shared" si="4"/>
        <v>86</v>
      </c>
      <c r="I65" s="939">
        <f t="shared" si="4"/>
        <v>87</v>
      </c>
      <c r="J65" s="939">
        <f t="shared" si="4"/>
        <v>87</v>
      </c>
      <c r="K65" s="939">
        <f t="shared" si="4"/>
        <v>85</v>
      </c>
      <c r="L65" s="939">
        <f t="shared" si="4"/>
        <v>82</v>
      </c>
      <c r="M65" s="939" t="str">
        <f t="shared" si="4"/>
        <v/>
      </c>
      <c r="N65" s="939" t="str">
        <f t="shared" si="4"/>
        <v/>
      </c>
      <c r="O65" s="939" t="str">
        <f t="shared" si="4"/>
        <v/>
      </c>
      <c r="P65" s="939" t="str">
        <f t="shared" si="4"/>
        <v/>
      </c>
      <c r="Q65" s="939" t="str">
        <f t="shared" si="4"/>
        <v/>
      </c>
      <c r="R65" s="939" t="str">
        <f t="shared" si="4"/>
        <v/>
      </c>
      <c r="S65" s="939" t="str">
        <f t="shared" si="4"/>
        <v/>
      </c>
      <c r="T65" s="939" t="str">
        <f t="shared" si="4"/>
        <v/>
      </c>
      <c r="U65" s="939" t="str">
        <f t="shared" si="4"/>
        <v/>
      </c>
      <c r="V65" s="936"/>
    </row>
    <row r="66" spans="1:22" s="355" customFormat="1" ht="11.1" customHeight="1" x14ac:dyDescent="0.2">
      <c r="A66" s="356"/>
      <c r="B66" s="358" t="str">
        <f>IF(INPUT!C64="","",CONCATENATE("(",INPUT!C64,")"))</f>
        <v/>
      </c>
      <c r="C66" s="358" t="str">
        <f>IF(INPUT!D64="","",CONCATENATE("(",INPUT!D64,")"))</f>
        <v/>
      </c>
      <c r="D66" s="358" t="str">
        <f>IF(INPUT!E64="","",CONCATENATE("(",INPUT!E64,")"))</f>
        <v/>
      </c>
      <c r="E66" s="358" t="str">
        <f>IF(INPUT!F64="","",CONCATENATE("(",INPUT!F64,")"))</f>
        <v/>
      </c>
      <c r="F66" s="358" t="str">
        <f>IF(INPUT!G64="","",CONCATENATE("(",INPUT!G64,")"))</f>
        <v/>
      </c>
      <c r="G66" s="358" t="str">
        <f>IF(INPUT!H64="","",CONCATENATE("(",INPUT!H64,")"))</f>
        <v/>
      </c>
      <c r="H66" s="358" t="str">
        <f>IF(INPUT!I64="","",CONCATENATE("(",INPUT!I64,")"))</f>
        <v/>
      </c>
      <c r="I66" s="358" t="str">
        <f>IF(INPUT!J64="","",CONCATENATE("(",INPUT!J64,")"))</f>
        <v/>
      </c>
      <c r="J66" s="358" t="str">
        <f>IF(INPUT!K64="","",CONCATENATE("(",INPUT!K64,")"))</f>
        <v/>
      </c>
      <c r="K66" s="358" t="str">
        <f>IF(INPUT!L64="","",CONCATENATE("(",INPUT!L64,")"))</f>
        <v/>
      </c>
      <c r="L66" s="358" t="str">
        <f>IF(INPUT!M64="","",CONCATENATE("(",INPUT!M64,")"))</f>
        <v/>
      </c>
      <c r="M66" s="358" t="str">
        <f>IF(INPUT!N64="","",CONCATENATE("(",INPUT!N64,")"))</f>
        <v/>
      </c>
      <c r="N66" s="358" t="str">
        <f>IF(INPUT!O64="","",CONCATENATE("(",INPUT!O64,")"))</f>
        <v/>
      </c>
      <c r="O66" s="358" t="str">
        <f>IF(INPUT!P64="","",CONCATENATE("(",INPUT!P64,")"))</f>
        <v/>
      </c>
      <c r="P66" s="358" t="str">
        <f>IF(INPUT!Q64="","",CONCATENATE("(",INPUT!Q64,")"))</f>
        <v/>
      </c>
      <c r="Q66" s="358" t="str">
        <f>IF(INPUT!R64="","",CONCATENATE("(",INPUT!R64,")"))</f>
        <v/>
      </c>
      <c r="R66" s="358" t="str">
        <f>IF(INPUT!S64="","",CONCATENATE("(",INPUT!S64,")"))</f>
        <v/>
      </c>
      <c r="S66" s="358" t="str">
        <f>IF(INPUT!T64="","",CONCATENATE("(",INPUT!T64,")"))</f>
        <v/>
      </c>
      <c r="T66" s="358" t="str">
        <f>IF(INPUT!U64="","",CONCATENATE("(",INPUT!U64,")"))</f>
        <v/>
      </c>
      <c r="U66" s="358" t="str">
        <f>IF(INPUT!V64="","",CONCATENATE("(",INPUT!V64,")"))</f>
        <v/>
      </c>
      <c r="V66" s="615"/>
    </row>
    <row r="67" spans="1:22" s="355" customFormat="1" ht="11.1" hidden="1" customHeight="1" x14ac:dyDescent="0.2">
      <c r="A67" s="354" t="s">
        <v>22</v>
      </c>
      <c r="B67" s="349">
        <f>B163</f>
        <v>5.0000000000000017E-2</v>
      </c>
      <c r="C67" s="349">
        <f t="shared" ref="C67:U67" si="5">C163</f>
        <v>0.22000000000000006</v>
      </c>
      <c r="D67" s="349">
        <f t="shared" si="5"/>
        <v>-0.56000000000000028</v>
      </c>
      <c r="E67" s="349">
        <f t="shared" si="5"/>
        <v>-0.61299999999999999</v>
      </c>
      <c r="F67" s="349">
        <f t="shared" si="5"/>
        <v>1.7199999999999993</v>
      </c>
      <c r="G67" s="349">
        <f t="shared" si="5"/>
        <v>3.9516956249999993</v>
      </c>
      <c r="H67" s="349">
        <f t="shared" si="5"/>
        <v>5.94563475</v>
      </c>
      <c r="I67" s="349">
        <f t="shared" si="5"/>
        <v>7.5048149375000008</v>
      </c>
      <c r="J67" s="349">
        <f t="shared" si="5"/>
        <v>8.7655986249999991</v>
      </c>
      <c r="K67" s="349">
        <f t="shared" si="5"/>
        <v>9.4123137500000009</v>
      </c>
      <c r="L67" s="349">
        <f t="shared" si="5"/>
        <v>13.206864062500003</v>
      </c>
      <c r="M67" s="349" t="str">
        <f t="shared" si="5"/>
        <v/>
      </c>
      <c r="N67" s="349" t="str">
        <f t="shared" si="5"/>
        <v/>
      </c>
      <c r="O67" s="349" t="str">
        <f t="shared" si="5"/>
        <v/>
      </c>
      <c r="P67" s="349" t="str">
        <f t="shared" si="5"/>
        <v/>
      </c>
      <c r="Q67" s="349" t="str">
        <f t="shared" si="5"/>
        <v/>
      </c>
      <c r="R67" s="349" t="str">
        <f t="shared" si="5"/>
        <v/>
      </c>
      <c r="S67" s="349" t="str">
        <f t="shared" si="5"/>
        <v/>
      </c>
      <c r="T67" s="349" t="str">
        <f t="shared" si="5"/>
        <v/>
      </c>
      <c r="U67" s="349" t="str">
        <f t="shared" si="5"/>
        <v/>
      </c>
      <c r="V67" s="615"/>
    </row>
    <row r="68" spans="1:22" s="355" customFormat="1" ht="11.1" hidden="1" customHeight="1" x14ac:dyDescent="0.2">
      <c r="A68" s="356"/>
      <c r="B68" s="358" t="str">
        <f>IF(INPUT!C49="","",CONCATENATE("(",INPUT!C49,")"))</f>
        <v/>
      </c>
      <c r="C68" s="358" t="str">
        <f>IF(INPUT!D49="","",CONCATENATE("(",INPUT!D49,")"))</f>
        <v/>
      </c>
      <c r="D68" s="358" t="str">
        <f>IF(INPUT!E49="","",CONCATENATE("(",INPUT!E49,")"))</f>
        <v/>
      </c>
      <c r="E68" s="358" t="str">
        <f>IF(INPUT!F49="","",CONCATENATE("(",INPUT!F49,")"))</f>
        <v/>
      </c>
      <c r="F68" s="358" t="str">
        <f>IF(INPUT!G49="","",CONCATENATE("(",INPUT!G49,")"))</f>
        <v/>
      </c>
      <c r="G68" s="358" t="str">
        <f>IF(INPUT!H49="","",CONCATENATE("(",INPUT!H49,")"))</f>
        <v/>
      </c>
      <c r="H68" s="358" t="str">
        <f>IF(INPUT!I49="","",CONCATENATE("(",INPUT!I49,")"))</f>
        <v/>
      </c>
      <c r="I68" s="358" t="str">
        <f>IF(INPUT!J49="","",CONCATENATE("(",INPUT!J49,")"))</f>
        <v/>
      </c>
      <c r="J68" s="358" t="str">
        <f>IF(INPUT!K49="","",CONCATENATE("(",INPUT!K49,")"))</f>
        <v/>
      </c>
      <c r="K68" s="358" t="str">
        <f>IF(INPUT!L49="","",CONCATENATE("(",INPUT!L49,")"))</f>
        <v/>
      </c>
      <c r="L68" s="358" t="str">
        <f>IF(INPUT!M49="","",CONCATENATE("(",INPUT!M49,")"))</f>
        <v/>
      </c>
      <c r="M68" s="358" t="str">
        <f>IF(INPUT!N49="","",CONCATENATE("(",INPUT!N49,")"))</f>
        <v/>
      </c>
      <c r="N68" s="358" t="str">
        <f>IF(INPUT!O49="","",CONCATENATE("(",INPUT!O49,")"))</f>
        <v/>
      </c>
      <c r="O68" s="358" t="str">
        <f>IF(INPUT!P49="","",CONCATENATE("(",INPUT!P49,")"))</f>
        <v/>
      </c>
      <c r="P68" s="358" t="str">
        <f>IF(INPUT!Q49="","",CONCATENATE("(",INPUT!Q49,")"))</f>
        <v/>
      </c>
      <c r="Q68" s="358" t="str">
        <f>IF(INPUT!R49="","",CONCATENATE("(",INPUT!R49,")"))</f>
        <v/>
      </c>
      <c r="R68" s="358" t="str">
        <f>IF(INPUT!S49="","",CONCATENATE("(",INPUT!S49,")"))</f>
        <v/>
      </c>
      <c r="S68" s="358" t="str">
        <f>IF(INPUT!T49="","",CONCATENATE("(",INPUT!T49,")"))</f>
        <v/>
      </c>
      <c r="T68" s="358" t="str">
        <f>IF(INPUT!U49="","",CONCATENATE("(",INPUT!U49,")"))</f>
        <v/>
      </c>
      <c r="U68" s="358" t="str">
        <f>IF(INPUT!V49="","",CONCATENATE("(",INPUT!V49,")"))</f>
        <v/>
      </c>
      <c r="V68" s="615"/>
    </row>
    <row r="69" spans="1:22" s="355" customFormat="1" ht="11.1" hidden="1" customHeight="1" x14ac:dyDescent="0.2">
      <c r="A69" s="354" t="s">
        <v>300</v>
      </c>
      <c r="B69" s="349" t="str">
        <f>DSCR!B17</f>
        <v/>
      </c>
      <c r="C69" s="349" t="str">
        <f>DSCR!C17</f>
        <v/>
      </c>
      <c r="D69" s="349" t="str">
        <f>DSCR!D17</f>
        <v/>
      </c>
      <c r="E69" s="349" t="str">
        <f>DSCR!E17</f>
        <v/>
      </c>
      <c r="F69" s="349" t="str">
        <f>DSCR!F17</f>
        <v/>
      </c>
      <c r="G69" s="349">
        <f>DSCR!G17</f>
        <v>2.1834985961545303</v>
      </c>
      <c r="H69" s="349">
        <f>DSCR!H17</f>
        <v>2.0539946485733238</v>
      </c>
      <c r="I69" s="349">
        <f>DSCR!I17</f>
        <v>1.7753488203200887</v>
      </c>
      <c r="J69" s="349">
        <f>DSCR!J17</f>
        <v>1.5596208871814068</v>
      </c>
      <c r="K69" s="349">
        <f>DSCR!K17</f>
        <v>1.4553148421686088</v>
      </c>
      <c r="L69" s="349">
        <f>DSCR!L17</f>
        <v>1.2522280144606224</v>
      </c>
      <c r="M69" s="349" t="str">
        <f>DSCR!M17</f>
        <v/>
      </c>
      <c r="N69" s="349" t="str">
        <f>DSCR!N17</f>
        <v/>
      </c>
      <c r="O69" s="349" t="str">
        <f>DSCR!O17</f>
        <v/>
      </c>
      <c r="P69" s="349" t="str">
        <f>DSCR!P17</f>
        <v/>
      </c>
      <c r="Q69" s="349" t="str">
        <f>DSCR!Q17</f>
        <v/>
      </c>
      <c r="R69" s="349" t="str">
        <f>DSCR!R17</f>
        <v/>
      </c>
      <c r="S69" s="349" t="str">
        <f>DSCR!S17</f>
        <v/>
      </c>
      <c r="T69" s="349" t="str">
        <f>DSCR!T17</f>
        <v/>
      </c>
      <c r="U69" s="349" t="str">
        <f>DSCR!U17</f>
        <v/>
      </c>
      <c r="V69" s="615"/>
    </row>
    <row r="70" spans="1:22" s="355" customFormat="1" ht="11.1" hidden="1" customHeight="1" x14ac:dyDescent="0.2">
      <c r="A70" s="356"/>
      <c r="B70" s="357" t="str">
        <f>IF(INPUT!C50="","",CONCATENATE("(",INPUT!C50,")"))</f>
        <v/>
      </c>
      <c r="C70" s="357" t="str">
        <f>IF(INPUT!D50="","",CONCATENATE("(",INPUT!D50,")"))</f>
        <v/>
      </c>
      <c r="D70" s="357" t="str">
        <f>IF(INPUT!E50="","",CONCATENATE("(",INPUT!E50,")"))</f>
        <v/>
      </c>
      <c r="E70" s="357" t="str">
        <f>IF(INPUT!F50="","",CONCATENATE("(",INPUT!F50,")"))</f>
        <v/>
      </c>
      <c r="F70" s="357" t="str">
        <f>IF(INPUT!G50="","",CONCATENATE("(",INPUT!G50,")"))</f>
        <v/>
      </c>
      <c r="G70" s="357" t="str">
        <f>IF(INPUT!H50="","",CONCATENATE("(",INPUT!H50,")"))</f>
        <v/>
      </c>
      <c r="H70" s="357" t="str">
        <f>IF(INPUT!I50="","",CONCATENATE("(",INPUT!I50,")"))</f>
        <v/>
      </c>
      <c r="I70" s="357" t="str">
        <f>IF(INPUT!J50="","",CONCATENATE("(",INPUT!J50,")"))</f>
        <v/>
      </c>
      <c r="J70" s="357" t="str">
        <f>IF(INPUT!K50="","",CONCATENATE("(",INPUT!K50,")"))</f>
        <v/>
      </c>
      <c r="K70" s="357" t="str">
        <f>IF(INPUT!L50="","",CONCATENATE("(",INPUT!L50,")"))</f>
        <v/>
      </c>
      <c r="L70" s="357" t="str">
        <f>IF(INPUT!M50="","",CONCATENATE("(",INPUT!M50,")"))</f>
        <v/>
      </c>
      <c r="M70" s="357" t="str">
        <f>IF(INPUT!N50="","",CONCATENATE("(",INPUT!N50,")"))</f>
        <v/>
      </c>
      <c r="N70" s="357" t="str">
        <f>IF(INPUT!O50="","",CONCATENATE("(",INPUT!O50,")"))</f>
        <v/>
      </c>
      <c r="O70" s="357" t="str">
        <f>IF(INPUT!P50="","",CONCATENATE("(",INPUT!P50,")"))</f>
        <v/>
      </c>
      <c r="P70" s="357" t="str">
        <f>IF(INPUT!Q50="","",CONCATENATE("(",INPUT!Q50,")"))</f>
        <v/>
      </c>
      <c r="Q70" s="357" t="str">
        <f>IF(INPUT!R50="","",CONCATENATE("(",INPUT!R50,")"))</f>
        <v/>
      </c>
      <c r="R70" s="357" t="str">
        <f>IF(INPUT!S50="","",CONCATENATE("(",INPUT!S50,")"))</f>
        <v/>
      </c>
      <c r="S70" s="357" t="str">
        <f>IF(INPUT!T50="","",CONCATENATE("(",INPUT!T50,")"))</f>
        <v/>
      </c>
      <c r="T70" s="357" t="str">
        <f>IF(INPUT!U50="","",CONCATENATE("(",INPUT!U50,")"))</f>
        <v/>
      </c>
      <c r="U70" s="357" t="str">
        <f>IF(INPUT!V50="","",CONCATENATE("(",INPUT!V50,")"))</f>
        <v/>
      </c>
      <c r="V70" s="615"/>
    </row>
    <row r="71" spans="1:22" s="365" customFormat="1" ht="11.1" hidden="1" customHeight="1" x14ac:dyDescent="0.2">
      <c r="A71" s="363" t="s">
        <v>52</v>
      </c>
      <c r="B71" s="364" t="str">
        <f>IF(ISERROR('Oper.St.'!C95/((Liab!C84+Liab!C91+Liab!B84+Liab!B91+Liab!B97+Liab!C97)/2)),"",IF('Oper.St.'!C95/((Liab!C84+Liab!C91+Liab!B84+Liab!B91+Liab!B97+Liab!C97)/2)=0,"",'Oper.St.'!C95/((Liab!C84+Liab!C91+Liab!B84+Liab!B91+Liab!B97+Liab!C97)/2)))</f>
        <v/>
      </c>
      <c r="C71" s="364">
        <f>IF(ISERROR('Oper.St.'!D95/((Liab!D84+Liab!D91+Liab!C84+Liab!C91+Liab!C97+Liab!D97)/2)),"",IF('Oper.St.'!D95/((Liab!D84+Liab!D91+Liab!C84+Liab!C91+Liab!C97+Liab!D97)/2)=0,"",'Oper.St.'!D95/((Liab!D84+Liab!D91+Liab!C84+Liab!C91+Liab!C97+Liab!D97)/2)))</f>
        <v>9</v>
      </c>
      <c r="D71" s="364">
        <f>IF(ISERROR('Oper.St.'!E95/((Liab!E84+Liab!E91+Liab!D84+Liab!D91+Liab!D97+Liab!E97)/2)),"",IF('Oper.St.'!E95/((Liab!E84+Liab!E91+Liab!D84+Liab!D91+Liab!D97+Liab!E97)/2)=0,"",'Oper.St.'!E95/((Liab!E84+Liab!E91+Liab!D84+Liab!D91+Liab!D97+Liab!E97)/2)))</f>
        <v>27.000000000000018</v>
      </c>
      <c r="E71" s="364">
        <f>IF(ISERROR('Oper.St.'!F95/((Liab!F84+Liab!F91+Liab!E84+Liab!E91+Liab!E97+Liab!F97)/2)),"",IF('Oper.St.'!F95/((Liab!F84+Liab!F91+Liab!E84+Liab!E91+Liab!E97+Liab!F97)/2)=0,"",'Oper.St.'!F95/((Liab!F84+Liab!F91+Liab!E84+Liab!E91+Liab!E97+Liab!F97)/2)))</f>
        <v>5.4182272159800225E-2</v>
      </c>
      <c r="F71" s="364">
        <f>IF(ISERROR('Oper.St.'!G95/((Liab!G84+Liab!G91+Liab!F84+Liab!F91+Liab!F97+Liab!G97)/2)),"",IF('Oper.St.'!G95/((Liab!G84+Liab!G91+Liab!F84+Liab!F91+Liab!F97+Liab!G97)/2)=0,"",'Oper.St.'!G95/((Liab!G84+Liab!G91+Liab!F84+Liab!F91+Liab!F97+Liab!G97)/2)))</f>
        <v>6.1810154525386352E-2</v>
      </c>
      <c r="G71" s="364">
        <f>IF(ISERROR('Oper.St.'!H95/((Liab!H84+Liab!H91+Liab!G84+Liab!G91+Liab!G97+Liab!H97)/2)),"",IF('Oper.St.'!H95/((Liab!H84+Liab!H91+Liab!G84+Liab!G91+Liab!G97+Liab!H97)/2)=0,"",'Oper.St.'!H95/((Liab!H84+Liab!H91+Liab!G84+Liab!G91+Liab!G97+Liab!H97)/2)))</f>
        <v>0.11833078063241124</v>
      </c>
      <c r="H71" s="364">
        <f>IF(ISERROR('Oper.St.'!I95/((Liab!I84+Liab!I91+Liab!H84+Liab!H91+Liab!H97+Liab!I97)/2)),"",IF('Oper.St.'!I95/((Liab!I84+Liab!I91+Liab!H84+Liab!H91+Liab!H97+Liab!I97)/2)=0,"",'Oper.St.'!I95/((Liab!I84+Liab!I91+Liab!H84+Liab!H91+Liab!H97+Liab!I97)/2)))</f>
        <v>0.16081116600790524</v>
      </c>
      <c r="I71" s="364">
        <f>IF(ISERROR('Oper.St.'!J95/((Liab!J84+Liab!J91+Liab!I84+Liab!I91+Liab!I97+Liab!J97)/2)),"",IF('Oper.St.'!J95/((Liab!J84+Liab!J91+Liab!I84+Liab!I91+Liab!I97+Liab!J97)/2)=0,"",'Oper.St.'!J95/((Liab!J84+Liab!J91+Liab!I84+Liab!I91+Liab!I97+Liab!J97)/2)))</f>
        <v>0.18001257411067195</v>
      </c>
      <c r="J71" s="364">
        <f>IF(ISERROR('Oper.St.'!K95/((Liab!K84+Liab!K91+Liab!J84+Liab!J91+Liab!J97+Liab!K97)/2)),"",IF('Oper.St.'!K95/((Liab!K84+Liab!K91+Liab!J84+Liab!J91+Liab!J97+Liab!K97)/2)=0,"",'Oper.St.'!K95/((Liab!K84+Liab!K91+Liab!J84+Liab!J91+Liab!J97+Liab!K97)/2)))</f>
        <v>0.19773512845849764</v>
      </c>
      <c r="K71" s="364">
        <f>IF(ISERROR('Oper.St.'!L95/((Liab!L84+Liab!L91+Liab!K84+Liab!K91+Liab!K97+Liab!L97)/2)),"",IF('Oper.St.'!L95/((Liab!L84+Liab!L91+Liab!K84+Liab!K91+Liab!K97+Liab!L97)/2)=0,"",'Oper.St.'!L95/((Liab!L84+Liab!L91+Liab!K84+Liab!K91+Liab!K97+Liab!L97)/2)))</f>
        <v>0.21920998023715424</v>
      </c>
      <c r="L71" s="364">
        <f>IF(ISERROR('Oper.St.'!M95/((Liab!M84+Liab!M91+Liab!L84+Liab!L91+Liab!L97+Liab!M97)/2)),"",IF('Oper.St.'!M95/((Liab!M84+Liab!M91+Liab!L84+Liab!L91+Liab!L97+Liab!M97)/2)=0,"",'Oper.St.'!M95/((Liab!M84+Liab!M91+Liab!L84+Liab!L91+Liab!L97+Liab!M97)/2)))</f>
        <v>0.25190402667984185</v>
      </c>
      <c r="M71" s="364" t="str">
        <f>IF(ISERROR('Oper.St.'!N95/((Liab!N84+Liab!N91+Liab!M84+Liab!M91+Liab!M97+Liab!N97)/2)),"",IF('Oper.St.'!N95/((Liab!N84+Liab!N91+Liab!M84+Liab!M91+Liab!M97+Liab!N97)/2)=0,"",'Oper.St.'!N95/((Liab!N84+Liab!N91+Liab!M84+Liab!M91+Liab!M97+Liab!N97)/2)))</f>
        <v/>
      </c>
      <c r="N71" s="364" t="str">
        <f>IF(ISERROR('Oper.St.'!O95/((Liab!O84+Liab!O91+Liab!N84+Liab!N91+Liab!N97+Liab!O97)/2)),"",IF('Oper.St.'!O95/((Liab!O84+Liab!O91+Liab!N84+Liab!N91+Liab!N97+Liab!O97)/2)=0,"",'Oper.St.'!O95/((Liab!O84+Liab!O91+Liab!N84+Liab!N91+Liab!N97+Liab!O97)/2)))</f>
        <v/>
      </c>
      <c r="O71" s="364" t="str">
        <f>IF(ISERROR('Oper.St.'!P95/((Liab!P84+Liab!P91+Liab!O84+Liab!O91+Liab!O97+Liab!P97)/2)),"",IF('Oper.St.'!P95/((Liab!P84+Liab!P91+Liab!O84+Liab!O91+Liab!O97+Liab!P97)/2)=0,"",'Oper.St.'!P95/((Liab!P84+Liab!P91+Liab!O84+Liab!O91+Liab!O97+Liab!P97)/2)))</f>
        <v/>
      </c>
      <c r="P71" s="364" t="str">
        <f>IF(ISERROR('Oper.St.'!Q95/((Liab!Q84+Liab!Q91+Liab!P84+Liab!P91+Liab!P97+Liab!Q97)/2)),"",IF('Oper.St.'!Q95/((Liab!Q84+Liab!Q91+Liab!P84+Liab!P91+Liab!P97+Liab!Q97)/2)=0,"",'Oper.St.'!Q95/((Liab!Q84+Liab!Q91+Liab!P84+Liab!P91+Liab!P97+Liab!Q97)/2)))</f>
        <v/>
      </c>
      <c r="Q71" s="364" t="str">
        <f>IF(ISERROR('Oper.St.'!R95/((Liab!R84+Liab!R91+Liab!Q84+Liab!Q91+Liab!Q97+Liab!R97)/2)),"",IF('Oper.St.'!R95/((Liab!R84+Liab!R91+Liab!Q84+Liab!Q91+Liab!Q97+Liab!R97)/2)=0,"",'Oper.St.'!R95/((Liab!R84+Liab!R91+Liab!Q84+Liab!Q91+Liab!Q97+Liab!R97)/2)))</f>
        <v/>
      </c>
      <c r="R71" s="364" t="str">
        <f>IF(ISERROR('Oper.St.'!S95/((Liab!S84+Liab!S91+Liab!R84+Liab!R91+Liab!R97+Liab!S97)/2)),"",IF('Oper.St.'!S95/((Liab!S84+Liab!S91+Liab!R84+Liab!R91+Liab!R97+Liab!S97)/2)=0,"",'Oper.St.'!S95/((Liab!S84+Liab!S91+Liab!R84+Liab!R91+Liab!R97+Liab!S97)/2)))</f>
        <v/>
      </c>
      <c r="S71" s="364" t="str">
        <f>IF(ISERROR('Oper.St.'!T95/((Liab!T84+Liab!T91+Liab!S84+Liab!S91+Liab!S97+Liab!T97)/2)),"",IF('Oper.St.'!T95/((Liab!T84+Liab!T91+Liab!S84+Liab!S91+Liab!S97+Liab!T97)/2)=0,"",'Oper.St.'!T95/((Liab!T84+Liab!T91+Liab!S84+Liab!S91+Liab!S97+Liab!T97)/2)))</f>
        <v/>
      </c>
      <c r="T71" s="364" t="str">
        <f>IF(ISERROR('Oper.St.'!U95/((Liab!U84+Liab!U91+Liab!T84+Liab!T91+Liab!T97+Liab!U97)/2)),"",IF('Oper.St.'!U95/((Liab!U84+Liab!U91+Liab!T84+Liab!T91+Liab!T97+Liab!U97)/2)=0,"",'Oper.St.'!U95/((Liab!U84+Liab!U91+Liab!T84+Liab!T91+Liab!T97+Liab!U97)/2)))</f>
        <v/>
      </c>
      <c r="U71" s="364" t="str">
        <f>IF(ISERROR('Oper.St.'!V95/((Liab!V84+Liab!V91+Liab!U84+Liab!U91+Liab!U97+Liab!V97)/2)),"",IF('Oper.St.'!V95/((Liab!V84+Liab!V91+Liab!U84+Liab!U91+Liab!U97+Liab!V97)/2)=0,"",'Oper.St.'!V95/((Liab!V84+Liab!V91+Liab!U84+Liab!U91+Liab!U97+Liab!V97)/2)))</f>
        <v/>
      </c>
      <c r="V71" s="617"/>
    </row>
    <row r="72" spans="1:22" s="361" customFormat="1" ht="11.1" hidden="1" customHeight="1" x14ac:dyDescent="0.2">
      <c r="A72" s="366"/>
      <c r="B72" s="350" t="str">
        <f>IF(INPUT!C51="","",CONCATENATE("(",INPUT!C51,"%",")"))</f>
        <v/>
      </c>
      <c r="C72" s="350" t="str">
        <f>IF(INPUT!D51="","",CONCATENATE("(",INPUT!D51,"%",")"))</f>
        <v/>
      </c>
      <c r="D72" s="350" t="str">
        <f>IF(INPUT!E51="","",CONCATENATE("(",INPUT!E51,"%",")"))</f>
        <v/>
      </c>
      <c r="E72" s="350" t="str">
        <f>IF(INPUT!F51="","",CONCATENATE("(",INPUT!F51,"%",")"))</f>
        <v/>
      </c>
      <c r="F72" s="350" t="str">
        <f>IF(INPUT!G51="","",CONCATENATE("(",INPUT!G51,"%",")"))</f>
        <v/>
      </c>
      <c r="G72" s="350" t="str">
        <f>IF(INPUT!H51="","",CONCATENATE("(",INPUT!H51,"%",")"))</f>
        <v/>
      </c>
      <c r="H72" s="350" t="str">
        <f>IF(INPUT!I51="","",CONCATENATE("(",INPUT!I51,"%",")"))</f>
        <v/>
      </c>
      <c r="I72" s="350" t="str">
        <f>IF(INPUT!J51="","",CONCATENATE("(",INPUT!J51,"%",")"))</f>
        <v/>
      </c>
      <c r="J72" s="350" t="str">
        <f>IF(INPUT!K51="","",CONCATENATE("(",INPUT!K51,"%",")"))</f>
        <v/>
      </c>
      <c r="K72" s="350" t="str">
        <f>IF(INPUT!L51="","",CONCATENATE("(",INPUT!L51,"%",")"))</f>
        <v/>
      </c>
      <c r="L72" s="350" t="str">
        <f>IF(INPUT!M51="","",CONCATENATE("(",INPUT!M51,"%",")"))</f>
        <v/>
      </c>
      <c r="M72" s="350" t="str">
        <f>IF(INPUT!N51="","",CONCATENATE("(",INPUT!N51,"%",")"))</f>
        <v/>
      </c>
      <c r="N72" s="350" t="str">
        <f>IF(INPUT!O51="","",CONCATENATE("(",INPUT!O51,"%",")"))</f>
        <v/>
      </c>
      <c r="O72" s="350" t="str">
        <f>IF(INPUT!P51="","",CONCATENATE("(",INPUT!P51,"%",")"))</f>
        <v/>
      </c>
      <c r="P72" s="350" t="str">
        <f>IF(INPUT!Q51="","",CONCATENATE("(",INPUT!Q51,"%",")"))</f>
        <v/>
      </c>
      <c r="Q72" s="350" t="str">
        <f>IF(INPUT!R51="","",CONCATENATE("(",INPUT!R51,"%",")"))</f>
        <v/>
      </c>
      <c r="R72" s="350" t="str">
        <f>IF(INPUT!S51="","",CONCATENATE("(",INPUT!S51,"%",")"))</f>
        <v/>
      </c>
      <c r="S72" s="350" t="str">
        <f>IF(INPUT!T51="","",CONCATENATE("(",INPUT!T51,"%",")"))</f>
        <v/>
      </c>
      <c r="T72" s="350" t="str">
        <f>IF(INPUT!U51="","",CONCATENATE("(",INPUT!U51,"%",")"))</f>
        <v/>
      </c>
      <c r="U72" s="350" t="str">
        <f>IF(INPUT!V51="","",CONCATENATE("(",INPUT!V51,"%",")"))</f>
        <v/>
      </c>
      <c r="V72" s="616"/>
    </row>
    <row r="73" spans="1:22" ht="15.75" hidden="1" customHeight="1" x14ac:dyDescent="0.2">
      <c r="A73" s="301" t="s">
        <v>791</v>
      </c>
      <c r="B73" s="255"/>
      <c r="C73" s="255"/>
      <c r="D73" s="255"/>
      <c r="E73" s="255"/>
      <c r="F73" s="255"/>
      <c r="G73" s="255"/>
      <c r="H73" s="255"/>
      <c r="I73" s="255"/>
      <c r="J73" s="255"/>
      <c r="K73" s="255"/>
      <c r="L73" s="255"/>
      <c r="M73" s="255"/>
      <c r="N73" s="255"/>
      <c r="O73" s="255"/>
      <c r="P73" s="255"/>
      <c r="Q73" s="255"/>
      <c r="R73" s="255"/>
      <c r="S73" s="255"/>
      <c r="T73" s="255"/>
      <c r="U73" s="255"/>
      <c r="V73" s="612"/>
    </row>
    <row r="74" spans="1:22" ht="12.75" hidden="1" customHeight="1" x14ac:dyDescent="0.2">
      <c r="A74" s="301" t="s">
        <v>892</v>
      </c>
      <c r="B74" s="255"/>
      <c r="C74" s="255"/>
      <c r="D74" s="255"/>
      <c r="E74" s="255"/>
      <c r="F74" s="255"/>
      <c r="G74" s="255"/>
      <c r="H74" s="255"/>
      <c r="I74" s="255"/>
      <c r="J74" s="255"/>
      <c r="K74" s="255"/>
      <c r="L74" s="255"/>
      <c r="M74" s="255"/>
      <c r="N74" s="255"/>
      <c r="O74" s="255"/>
      <c r="P74" s="255"/>
      <c r="Q74" s="255"/>
      <c r="R74" s="255"/>
      <c r="S74" s="255"/>
      <c r="T74" s="255"/>
      <c r="U74" s="255"/>
      <c r="V74" s="612"/>
    </row>
    <row r="75" spans="1:22" s="303" customFormat="1" ht="17.25" hidden="1" customHeight="1" x14ac:dyDescent="0.2">
      <c r="A75" s="302" t="s">
        <v>665</v>
      </c>
      <c r="B75" s="271">
        <f t="shared" ref="B75:O75" si="6">IF(ISERROR(B45/B7),"",IF(B45/B7=0,"",B45/B7))</f>
        <v>0.16249999999999995</v>
      </c>
      <c r="C75" s="271">
        <f t="shared" si="6"/>
        <v>0.14285714285714285</v>
      </c>
      <c r="D75" s="271">
        <f t="shared" si="6"/>
        <v>0.20454545454545461</v>
      </c>
      <c r="E75" s="271">
        <f t="shared" si="6"/>
        <v>0.19999999999999996</v>
      </c>
      <c r="F75" s="271">
        <f t="shared" si="6"/>
        <v>0.16400000000000003</v>
      </c>
      <c r="G75" s="271">
        <f t="shared" si="6"/>
        <v>0.15577596266044347</v>
      </c>
      <c r="H75" s="271">
        <f t="shared" si="6"/>
        <v>0.13483424047501244</v>
      </c>
      <c r="I75" s="271">
        <f t="shared" si="6"/>
        <v>0.12066228169652984</v>
      </c>
      <c r="J75" s="271">
        <f t="shared" si="6"/>
        <v>0.10800667222685559</v>
      </c>
      <c r="K75" s="271">
        <f t="shared" si="6"/>
        <v>9.802037286181052E-2</v>
      </c>
      <c r="L75" s="271">
        <f t="shared" si="6"/>
        <v>9.199288256227757E-2</v>
      </c>
      <c r="M75" s="271" t="str">
        <f t="shared" si="6"/>
        <v/>
      </c>
      <c r="N75" s="271" t="str">
        <f t="shared" si="6"/>
        <v/>
      </c>
      <c r="O75" s="271" t="str">
        <f t="shared" si="6"/>
        <v/>
      </c>
      <c r="P75" s="271" t="str">
        <f t="shared" ref="P75:U75" si="7">IF(ISERROR(P45/P7),"",IF(P45/P7=0,"",P45/P7))</f>
        <v/>
      </c>
      <c r="Q75" s="271" t="str">
        <f t="shared" si="7"/>
        <v/>
      </c>
      <c r="R75" s="271" t="str">
        <f t="shared" si="7"/>
        <v/>
      </c>
      <c r="S75" s="271" t="str">
        <f t="shared" si="7"/>
        <v/>
      </c>
      <c r="T75" s="271" t="str">
        <f t="shared" si="7"/>
        <v/>
      </c>
      <c r="U75" s="271" t="str">
        <f t="shared" si="7"/>
        <v/>
      </c>
      <c r="V75" s="618"/>
    </row>
    <row r="76" spans="1:22" ht="23.25" hidden="1" customHeight="1" x14ac:dyDescent="0.25">
      <c r="A76" s="259" t="s">
        <v>457</v>
      </c>
      <c r="B76" s="255"/>
      <c r="C76" s="255"/>
      <c r="D76" s="255"/>
      <c r="E76" s="255"/>
      <c r="F76" s="255"/>
      <c r="G76" s="255"/>
      <c r="H76" s="255"/>
      <c r="I76" s="255"/>
      <c r="J76" s="255"/>
      <c r="K76" s="255"/>
      <c r="L76" s="255"/>
      <c r="M76" s="255"/>
      <c r="N76" s="255"/>
      <c r="O76" s="255"/>
      <c r="P76" s="255"/>
      <c r="Q76" s="255"/>
      <c r="R76" s="255"/>
      <c r="S76" s="255"/>
      <c r="T76" s="255"/>
      <c r="U76" s="255"/>
      <c r="V76" s="612"/>
    </row>
    <row r="77" spans="1:22" s="297" customFormat="1" ht="12.75" hidden="1" customHeight="1" x14ac:dyDescent="0.25">
      <c r="A77" s="260" t="s">
        <v>392</v>
      </c>
      <c r="B77" s="261">
        <f>B3</f>
        <v>2020</v>
      </c>
      <c r="C77" s="261">
        <f t="shared" ref="C77:O78" si="8">C3</f>
        <v>2021</v>
      </c>
      <c r="D77" s="261">
        <f t="shared" si="8"/>
        <v>2022</v>
      </c>
      <c r="E77" s="261">
        <f t="shared" si="8"/>
        <v>2023</v>
      </c>
      <c r="F77" s="261">
        <f t="shared" si="8"/>
        <v>2024</v>
      </c>
      <c r="G77" s="261">
        <f t="shared" si="8"/>
        <v>2025</v>
      </c>
      <c r="H77" s="261">
        <f t="shared" si="8"/>
        <v>2026</v>
      </c>
      <c r="I77" s="261">
        <f t="shared" si="8"/>
        <v>2027</v>
      </c>
      <c r="J77" s="261">
        <f t="shared" si="8"/>
        <v>2028</v>
      </c>
      <c r="K77" s="261">
        <f t="shared" si="8"/>
        <v>2029</v>
      </c>
      <c r="L77" s="261">
        <f t="shared" si="8"/>
        <v>2030</v>
      </c>
      <c r="M77" s="261">
        <f t="shared" si="8"/>
        <v>2031</v>
      </c>
      <c r="N77" s="261">
        <f t="shared" si="8"/>
        <v>2032</v>
      </c>
      <c r="O77" s="261">
        <f t="shared" si="8"/>
        <v>2033</v>
      </c>
      <c r="P77" s="261">
        <f t="shared" ref="P77:U77" si="9">P3</f>
        <v>2034</v>
      </c>
      <c r="Q77" s="261">
        <f t="shared" si="9"/>
        <v>2035</v>
      </c>
      <c r="R77" s="261">
        <f t="shared" si="9"/>
        <v>2036</v>
      </c>
      <c r="S77" s="261">
        <f t="shared" si="9"/>
        <v>2037</v>
      </c>
      <c r="T77" s="261">
        <f t="shared" si="9"/>
        <v>2038</v>
      </c>
      <c r="U77" s="261">
        <f t="shared" si="9"/>
        <v>2039</v>
      </c>
      <c r="V77" s="613"/>
    </row>
    <row r="78" spans="1:22" s="297" customFormat="1" ht="12.75" hidden="1" customHeight="1" x14ac:dyDescent="0.25">
      <c r="A78" s="260"/>
      <c r="B78" s="261" t="str">
        <f>B4</f>
        <v>AUD.</v>
      </c>
      <c r="C78" s="261" t="str">
        <f t="shared" si="8"/>
        <v>AUD.</v>
      </c>
      <c r="D78" s="261" t="str">
        <f t="shared" si="8"/>
        <v>AUD.</v>
      </c>
      <c r="E78" s="261" t="str">
        <f t="shared" si="8"/>
        <v>EST.</v>
      </c>
      <c r="F78" s="261" t="str">
        <f t="shared" si="8"/>
        <v>PROJ.</v>
      </c>
      <c r="G78" s="261" t="str">
        <f t="shared" si="8"/>
        <v>PROJ.</v>
      </c>
      <c r="H78" s="261" t="str">
        <f t="shared" si="8"/>
        <v>PROJ.</v>
      </c>
      <c r="I78" s="261" t="str">
        <f t="shared" si="8"/>
        <v>PROJ.</v>
      </c>
      <c r="J78" s="261" t="str">
        <f t="shared" si="8"/>
        <v>PROJ.</v>
      </c>
      <c r="K78" s="261" t="str">
        <f t="shared" si="8"/>
        <v>PROJ.</v>
      </c>
      <c r="L78" s="261" t="str">
        <f t="shared" si="8"/>
        <v>PROJ.</v>
      </c>
      <c r="M78" s="261" t="str">
        <f t="shared" si="8"/>
        <v>PROJ.</v>
      </c>
      <c r="N78" s="261" t="str">
        <f t="shared" si="8"/>
        <v>PROJ.</v>
      </c>
      <c r="O78" s="261" t="str">
        <f t="shared" si="8"/>
        <v>PROJ.</v>
      </c>
      <c r="P78" s="261" t="str">
        <f t="shared" ref="P78:U78" si="10">P4</f>
        <v>PROJ.</v>
      </c>
      <c r="Q78" s="261" t="str">
        <f t="shared" si="10"/>
        <v>PROJ.</v>
      </c>
      <c r="R78" s="261" t="str">
        <f t="shared" si="10"/>
        <v>PROJ.</v>
      </c>
      <c r="S78" s="261" t="str">
        <f t="shared" si="10"/>
        <v>PROJ.</v>
      </c>
      <c r="T78" s="261" t="str">
        <f t="shared" si="10"/>
        <v>PROJ.</v>
      </c>
      <c r="U78" s="261" t="str">
        <f t="shared" si="10"/>
        <v>PROJ.</v>
      </c>
      <c r="V78" s="613"/>
    </row>
    <row r="79" spans="1:22" s="347" customFormat="1" ht="15.75" hidden="1" customHeight="1" x14ac:dyDescent="0.2">
      <c r="A79" s="345" t="s">
        <v>864</v>
      </c>
      <c r="B79" s="346">
        <v>0</v>
      </c>
      <c r="C79" s="343">
        <f>IF(ISERROR(C41-'Oper.St.'!D100+INPUT!D19+INPUT!D16-'Oper.St.'!D84),"",IF(C41-'Oper.St.'!D100+INPUT!D19+INPUT!D16-'Oper.St.'!D84=0,"",C41-'Oper.St.'!D100+INPUT!D19+INPUT!D16-'Oper.St.'!D84))</f>
        <v>0.11</v>
      </c>
      <c r="D79" s="343">
        <f>IF(ISERROR(D41-'Oper.St.'!E100+INPUT!E19+INPUT!E16-'Oper.St.'!E84),"",IF(D41-'Oper.St.'!E100+INPUT!E19+INPUT!E16-'Oper.St.'!E84=0,"",D41-'Oper.St.'!E100+INPUT!E19+INPUT!E16-'Oper.St.'!E84))</f>
        <v>0.2900000000000002</v>
      </c>
      <c r="E79" s="343">
        <f>IF(ISERROR(E41-'Oper.St.'!F100+INPUT!F19+INPUT!F16-'Oper.St.'!F84),"",IF(E41-'Oper.St.'!F100+INPUT!F19+INPUT!F16-'Oper.St.'!F84=0,"",E41-'Oper.St.'!F100+INPUT!F19+INPUT!F16-'Oper.St.'!F84))</f>
        <v>0.23699999999999988</v>
      </c>
      <c r="F79" s="343">
        <f>IF(ISERROR(F41-'Oper.St.'!G100+INPUT!G19+INPUT!G16-'Oper.St.'!G84),"",IF(F41-'Oper.St.'!G100+INPUT!G19+INPUT!G16-'Oper.St.'!G84=0,"",F41-'Oper.St.'!G100+INPUT!G19+INPUT!G16-'Oper.St.'!G84))</f>
        <v>2.1100000000000003</v>
      </c>
      <c r="G79" s="343">
        <f>IF(ISERROR(G41-'Oper.St.'!H100+INPUT!H19+INPUT!H16-'Oper.St.'!H84),"",IF(G41-'Oper.St.'!H100+INPUT!H19+INPUT!H16-'Oper.St.'!H84=0,"",G41-'Oper.St.'!H100+INPUT!H19+INPUT!H16-'Oper.St.'!H84))</f>
        <v>3.6575075000000017</v>
      </c>
      <c r="H79" s="343">
        <f>IF(ISERROR(H41-'Oper.St.'!I100+INPUT!I19+INPUT!I16-'Oper.St.'!I84),"",IF(H41-'Oper.St.'!I100+INPUT!I19+INPUT!I16-'Oper.St.'!I84=0,"",H41-'Oper.St.'!I100+INPUT!I19+INPUT!I16-'Oper.St.'!I84))</f>
        <v>3.7674090000000011</v>
      </c>
      <c r="I79" s="343">
        <f>IF(ISERROR(I41-'Oper.St.'!J100+INPUT!J19+INPUT!J16-'Oper.St.'!J84),"",IF(I41-'Oper.St.'!J100+INPUT!J19+INPUT!J16-'Oper.St.'!J84=0,"",I41-'Oper.St.'!J100+INPUT!J19+INPUT!J16-'Oper.St.'!J84))</f>
        <v>3.6817272499999998</v>
      </c>
      <c r="J79" s="343">
        <f>IF(ISERROR(J41-'Oper.St.'!K100+INPUT!K19+INPUT!K16-'Oper.St.'!K84),"",IF(J41-'Oper.St.'!K100+INPUT!K19+INPUT!K16-'Oper.St.'!K84=0,"",J41-'Oper.St.'!K100+INPUT!K19+INPUT!K16-'Oper.St.'!K84))</f>
        <v>3.6210794999999956</v>
      </c>
      <c r="K79" s="343">
        <f>IF(ISERROR(K41-'Oper.St.'!L100+INPUT!L19+INPUT!L16-'Oper.St.'!L84),"",IF(K41-'Oper.St.'!L100+INPUT!L19+INPUT!L16-'Oper.St.'!L84=0,"",K41-'Oper.St.'!L100+INPUT!L19+INPUT!L16-'Oper.St.'!L84))</f>
        <v>3.6484050000000003</v>
      </c>
      <c r="L79" s="343">
        <f>IF(ISERROR(L41-'Oper.St.'!M100+INPUT!M19+INPUT!M16-'Oper.St.'!M84),"",IF(L41-'Oper.St.'!M100+INPUT!M19+INPUT!M16-'Oper.St.'!M84=0,"",L41-'Oper.St.'!M100+INPUT!M19+INPUT!M16-'Oper.St.'!M84))</f>
        <v>3.7892687499999989</v>
      </c>
      <c r="M79" s="343" t="str">
        <f>IF(ISERROR(M41-'Oper.St.'!N100+INPUT!N19+INPUT!N16-'Oper.St.'!N84),"",IF(M41-'Oper.St.'!N100+INPUT!N19+INPUT!N16-'Oper.St.'!N84=0,"",M41-'Oper.St.'!N100+INPUT!N19+INPUT!N16-'Oper.St.'!N84))</f>
        <v/>
      </c>
      <c r="N79" s="343" t="str">
        <f>IF(ISERROR(N41-'Oper.St.'!O100+INPUT!O19+INPUT!O16-'Oper.St.'!O84),"",IF(N41-'Oper.St.'!O100+INPUT!O19+INPUT!O16-'Oper.St.'!O84=0,"",N41-'Oper.St.'!O100+INPUT!O19+INPUT!O16-'Oper.St.'!O84))</f>
        <v/>
      </c>
      <c r="O79" s="343" t="str">
        <f>IF(ISERROR(O41-'Oper.St.'!P100+INPUT!P19+INPUT!P16-'Oper.St.'!P84),"",IF(O41-'Oper.St.'!P100+INPUT!P19+INPUT!P16-'Oper.St.'!P84=0,"",O41-'Oper.St.'!P100+INPUT!P19+INPUT!P16-'Oper.St.'!P84))</f>
        <v/>
      </c>
      <c r="P79" s="343" t="str">
        <f>IF(ISERROR(P41-'Oper.St.'!Q100+INPUT!Q19+INPUT!Q16-'Oper.St.'!Q84),"",IF(P41-'Oper.St.'!Q100+INPUT!Q19+INPUT!Q16-'Oper.St.'!Q84=0,"",P41-'Oper.St.'!Q100+INPUT!Q19+INPUT!Q16-'Oper.St.'!Q84))</f>
        <v/>
      </c>
      <c r="Q79" s="343" t="str">
        <f>IF(ISERROR(Q41-'Oper.St.'!R100+INPUT!R19+INPUT!R16-'Oper.St.'!R84),"",IF(Q41-'Oper.St.'!R100+INPUT!R19+INPUT!R16-'Oper.St.'!R84=0,"",Q41-'Oper.St.'!R100+INPUT!R19+INPUT!R16-'Oper.St.'!R84))</f>
        <v/>
      </c>
      <c r="R79" s="343" t="str">
        <f>IF(ISERROR(R41-'Oper.St.'!S100+INPUT!S19+INPUT!S16-'Oper.St.'!S84),"",IF(R41-'Oper.St.'!S100+INPUT!S19+INPUT!S16-'Oper.St.'!S84=0,"",R41-'Oper.St.'!S100+INPUT!S19+INPUT!S16-'Oper.St.'!S84))</f>
        <v/>
      </c>
      <c r="S79" s="343" t="str">
        <f>IF(ISERROR(S41-'Oper.St.'!T100+INPUT!T19+INPUT!T16-'Oper.St.'!T84),"",IF(S41-'Oper.St.'!T100+INPUT!T19+INPUT!T16-'Oper.St.'!T84=0,"",S41-'Oper.St.'!T100+INPUT!T19+INPUT!T16-'Oper.St.'!T84))</f>
        <v/>
      </c>
      <c r="T79" s="343" t="str">
        <f>IF(ISERROR(T41-'Oper.St.'!U100+INPUT!U19+INPUT!U16-'Oper.St.'!U84),"",IF(T41-'Oper.St.'!U100+INPUT!U19+INPUT!U16-'Oper.St.'!U84=0,"",T41-'Oper.St.'!U100+INPUT!U19+INPUT!U16-'Oper.St.'!U84))</f>
        <v/>
      </c>
      <c r="U79" s="343" t="str">
        <f>IF(ISERROR(U41-'Oper.St.'!V100+INPUT!V19+INPUT!V16-'Oper.St.'!V84),"",IF(U41-'Oper.St.'!V100+INPUT!V19+INPUT!V16-'Oper.St.'!V84=0,"",U41-'Oper.St.'!V100+INPUT!V19+INPUT!V16-'Oper.St.'!V84))</f>
        <v/>
      </c>
      <c r="V79" s="619"/>
    </row>
    <row r="80" spans="1:22" ht="14.25" hidden="1" customHeight="1" x14ac:dyDescent="0.2">
      <c r="A80" s="287" t="s">
        <v>865</v>
      </c>
      <c r="B80" s="280">
        <v>0</v>
      </c>
      <c r="C80" s="256" t="str">
        <f>IF(ISERROR(Liab!D84+Liab!D86+Liab!D88+Liab!D91+SUM(Liab!D93:D95)+Liab!D97-Liab!C84-Liab!C86-Liab!C88-Liab!C91-SUM(Liab!C93:C95)-Liab!C97),"",IF(Liab!D84+Liab!D86+Liab!D88+Liab!D91+SUM(Liab!D93:D95)+Liab!D97-Liab!C84-Liab!C86-Liab!C88-Liab!C91-SUM(Liab!C93:C95)-Liab!C97=0,"",Liab!D84+Liab!D86+Liab!D88+Liab!D91+SUM(Liab!D93:D95)+Liab!D97-Liab!C84-Liab!C86-Liab!C88-Liab!C91-SUM(Liab!C93:C95)-Liab!C97))</f>
        <v/>
      </c>
      <c r="D80" s="256" t="str">
        <f>IF(ISERROR(Liab!E84+Liab!E86+Liab!E88+Liab!E91+SUM(Liab!E93:E95)+Liab!E97-Liab!D84-Liab!D86-Liab!D88-Liab!D91-SUM(Liab!D93:D95)-Liab!D97),"",IF(Liab!E84+Liab!E86+Liab!E88+Liab!E91+SUM(Liab!E93:E95)+Liab!E97-Liab!D84-Liab!D86-Liab!D88-Liab!D91-SUM(Liab!D93:D95)-Liab!D97=0,"",Liab!E84+Liab!E86+Liab!E88+Liab!E91+SUM(Liab!E93:E95)+Liab!E97-Liab!D84-Liab!D86-Liab!D88-Liab!D91-SUM(Liab!D93:D95)-Liab!D97))</f>
        <v/>
      </c>
      <c r="E80" s="256">
        <f>IF(ISERROR(Liab!F84+Liab!F86+Liab!F88+Liab!F91+SUM(Liab!F93:F95)+Liab!F97-Liab!E84-Liab!E86-Liab!E88-Liab!E91-SUM(Liab!E93:E95)-Liab!E97),"",IF(Liab!F84+Liab!F86+Liab!F88+Liab!F91+SUM(Liab!F93:F95)+Liab!F97-Liab!E84-Liab!E86-Liab!E88-Liab!E91-SUM(Liab!E93:E95)-Liab!E97=0,"",Liab!F84+Liab!F86+Liab!F88+Liab!F91+SUM(Liab!F93:F95)+Liab!F97-Liab!E84-Liab!E86-Liab!E88-Liab!E91-SUM(Liab!E93:E95)-Liab!E97))</f>
        <v>7.99</v>
      </c>
      <c r="F80" s="256">
        <f>IF(ISERROR(Liab!G84+Liab!G86+Liab!G88+Liab!G91+SUM(Liab!G93:G95)+Liab!G97-Liab!F84-Liab!F86-Liab!F88-Liab!F91-SUM(Liab!F93:F95)-Liab!F97),"",IF(Liab!G84+Liab!G86+Liab!G88+Liab!G91+SUM(Liab!G93:G95)+Liab!G97-Liab!F84-Liab!F86-Liab!F88-Liab!F91-SUM(Liab!F93:F95)-Liab!F97=0,"",Liab!G84+Liab!G86+Liab!G88+Liab!G91+SUM(Liab!G93:G95)+Liab!G97-Liab!F84-Liab!F86-Liab!F88-Liab!F91-SUM(Liab!F93:F95)-Liab!F97))</f>
        <v>2.1199999999999992</v>
      </c>
      <c r="G80" s="256" t="str">
        <f>IF(ISERROR(Liab!H84+Liab!H86+Liab!H88+Liab!H91+SUM(Liab!H93:H95)+Liab!H97-Liab!G84-Liab!G86-Liab!G88-Liab!G91-SUM(Liab!G93:G95)-Liab!G97),"",IF(Liab!H84+Liab!H86+Liab!H88+Liab!H91+SUM(Liab!H93:H95)+Liab!H97-Liab!G84-Liab!G86-Liab!G88-Liab!G91-SUM(Liab!G93:G95)-Liab!G97=0,"",Liab!H84+Liab!H86+Liab!H88+Liab!H91+SUM(Liab!H93:H95)+Liab!H97-Liab!G84-Liab!G86-Liab!G88-Liab!G91-SUM(Liab!G93:G95)-Liab!G97))</f>
        <v/>
      </c>
      <c r="H80" s="256" t="str">
        <f>IF(ISERROR(Liab!I84+Liab!I86+Liab!I88+Liab!I91+SUM(Liab!I93:I95)+Liab!I97-Liab!H84-Liab!H86-Liab!H88-Liab!H91-SUM(Liab!H93:H95)-Liab!H97),"",IF(Liab!I84+Liab!I86+Liab!I88+Liab!I91+SUM(Liab!I93:I95)+Liab!I97-Liab!H84-Liab!H86-Liab!H88-Liab!H91-SUM(Liab!H93:H95)-Liab!H97=0,"",Liab!I84+Liab!I86+Liab!I88+Liab!I91+SUM(Liab!I93:I95)+Liab!I97-Liab!H84-Liab!H86-Liab!H88-Liab!H91-SUM(Liab!H93:H95)-Liab!H97))</f>
        <v/>
      </c>
      <c r="I80" s="256" t="str">
        <f>IF(ISERROR(Liab!J84+Liab!J86+Liab!J88+Liab!J91+SUM(Liab!J93:J95)+Liab!J97-Liab!I84-Liab!I86-Liab!I88-Liab!I91-SUM(Liab!I93:I95)-Liab!I97),"",IF(Liab!J84+Liab!J86+Liab!J88+Liab!J91+SUM(Liab!J93:J95)+Liab!J97-Liab!I84-Liab!I86-Liab!I88-Liab!I91-SUM(Liab!I93:I95)-Liab!I97=0,"",Liab!J84+Liab!J86+Liab!J88+Liab!J91+SUM(Liab!J93:J95)+Liab!J97-Liab!I84-Liab!I86-Liab!I88-Liab!I91-SUM(Liab!I93:I95)-Liab!I97))</f>
        <v/>
      </c>
      <c r="J80" s="256" t="str">
        <f>IF(ISERROR(Liab!K84+Liab!K86+Liab!K88+Liab!K91+SUM(Liab!K93:K95)+Liab!K97-Liab!J84-Liab!J86-Liab!J88-Liab!J91-SUM(Liab!J93:J95)-Liab!J97),"",IF(Liab!K84+Liab!K86+Liab!K88+Liab!K91+SUM(Liab!K93:K95)+Liab!K97-Liab!J84-Liab!J86-Liab!J88-Liab!J91-SUM(Liab!J93:J95)-Liab!J97=0,"",Liab!K84+Liab!K86+Liab!K88+Liab!K91+SUM(Liab!K93:K95)+Liab!K97-Liab!J84-Liab!J86-Liab!J88-Liab!J91-SUM(Liab!J93:J95)-Liab!J97))</f>
        <v/>
      </c>
      <c r="K80" s="256" t="str">
        <f>IF(ISERROR(Liab!L84+Liab!L86+Liab!L88+Liab!L91+SUM(Liab!L93:L95)+Liab!L97-Liab!K84-Liab!K86-Liab!K88-Liab!K91-SUM(Liab!K93:K95)-Liab!K97),"",IF(Liab!L84+Liab!L86+Liab!L88+Liab!L91+SUM(Liab!L93:L95)+Liab!L97-Liab!K84-Liab!K86-Liab!K88-Liab!K91-SUM(Liab!K93:K95)-Liab!K97=0,"",Liab!L84+Liab!L86+Liab!L88+Liab!L91+SUM(Liab!L93:L95)+Liab!L97-Liab!K84-Liab!K86-Liab!K88-Liab!K91-SUM(Liab!K93:K95)-Liab!K97))</f>
        <v/>
      </c>
      <c r="L80" s="256" t="str">
        <f>IF(ISERROR(Liab!M84+Liab!M86+Liab!M88+Liab!M91+SUM(Liab!M93:M95)+Liab!M97-Liab!L84-Liab!L86-Liab!L88-Liab!L91-SUM(Liab!L93:L95)-Liab!L97),"",IF(Liab!M84+Liab!M86+Liab!M88+Liab!M91+SUM(Liab!M93:M95)+Liab!M97-Liab!L84-Liab!L86-Liab!L88-Liab!L91-SUM(Liab!L93:L95)-Liab!L97=0,"",Liab!M84+Liab!M86+Liab!M88+Liab!M91+SUM(Liab!M93:M95)+Liab!M97-Liab!L84-Liab!L86-Liab!L88-Liab!L91-SUM(Liab!L93:L95)-Liab!L97))</f>
        <v/>
      </c>
      <c r="M80" s="256">
        <f>IF(ISERROR(Liab!N84+Liab!N86+Liab!N88+Liab!N91+SUM(Liab!N93:N95)+Liab!N97-Liab!M84-Liab!M86-Liab!M88-Liab!M91-SUM(Liab!M93:M95)-Liab!M97),"",IF(Liab!N84+Liab!N86+Liab!N88+Liab!N91+SUM(Liab!N93:N95)+Liab!N97-Liab!M84-Liab!M86-Liab!M88-Liab!M91-SUM(Liab!M93:M95)-Liab!M97=0,"",Liab!N84+Liab!N86+Liab!N88+Liab!N91+SUM(Liab!N93:N95)+Liab!N97-Liab!M84-Liab!M86-Liab!M88-Liab!M91-SUM(Liab!M93:M95)-Liab!M97))</f>
        <v>-10.119999999999999</v>
      </c>
      <c r="N80" s="256" t="str">
        <f>IF(ISERROR(Liab!O84+Liab!O86+Liab!O88+Liab!O91+SUM(Liab!O93:O95)+Liab!O97-Liab!N84-Liab!N86-Liab!N88-Liab!N91-SUM(Liab!N93:N95)-Liab!N97),"",IF(Liab!O84+Liab!O86+Liab!O88+Liab!O91+SUM(Liab!O93:O95)+Liab!O97-Liab!N84-Liab!N86-Liab!N88-Liab!N91-SUM(Liab!N93:N95)-Liab!N97=0,"",Liab!O84+Liab!O86+Liab!O88+Liab!O91+SUM(Liab!O93:O95)+Liab!O97-Liab!N84-Liab!N86-Liab!N88-Liab!N91-SUM(Liab!N93:N95)-Liab!N97))</f>
        <v/>
      </c>
      <c r="O80" s="256" t="str">
        <f>IF(ISERROR(Liab!P84+Liab!P86+Liab!P88+Liab!P91+SUM(Liab!P93:P95)+Liab!P97-Liab!O84-Liab!O86-Liab!O88-Liab!O91-SUM(Liab!O93:O95)-Liab!O97),"",IF(Liab!P84+Liab!P86+Liab!P88+Liab!P91+SUM(Liab!P93:P95)+Liab!P97-Liab!O84-Liab!O86-Liab!O88-Liab!O91-SUM(Liab!O93:O95)-Liab!O97=0,"",Liab!P84+Liab!P86+Liab!P88+Liab!P91+SUM(Liab!P93:P95)+Liab!P97-Liab!O84-Liab!O86-Liab!O88-Liab!O91-SUM(Liab!O93:O95)-Liab!O97))</f>
        <v/>
      </c>
      <c r="P80" s="256" t="str">
        <f>IF(ISERROR(Liab!Q84+Liab!Q86+Liab!Q88+Liab!Q91+SUM(Liab!Q93:Q95)+Liab!Q97-Liab!P84-Liab!P86-Liab!P88-Liab!P91-SUM(Liab!P93:P95)-Liab!P97),"",IF(Liab!Q84+Liab!Q86+Liab!Q88+Liab!Q91+SUM(Liab!Q93:Q95)+Liab!Q97-Liab!P84-Liab!P86-Liab!P88-Liab!P91-SUM(Liab!P93:P95)-Liab!P97=0,"",Liab!Q84+Liab!Q86+Liab!Q88+Liab!Q91+SUM(Liab!Q93:Q95)+Liab!Q97-Liab!P84-Liab!P86-Liab!P88-Liab!P91-SUM(Liab!P93:P95)-Liab!P97))</f>
        <v/>
      </c>
      <c r="Q80" s="256" t="str">
        <f>IF(ISERROR(Liab!R84+Liab!R86+Liab!R88+Liab!R91+SUM(Liab!R93:R95)+Liab!R97-Liab!Q84-Liab!Q86-Liab!Q88-Liab!Q91-SUM(Liab!Q93:Q95)-Liab!Q97),"",IF(Liab!R84+Liab!R86+Liab!R88+Liab!R91+SUM(Liab!R93:R95)+Liab!R97-Liab!Q84-Liab!Q86-Liab!Q88-Liab!Q91-SUM(Liab!Q93:Q95)-Liab!Q97=0,"",Liab!R84+Liab!R86+Liab!R88+Liab!R91+SUM(Liab!R93:R95)+Liab!R97-Liab!Q84-Liab!Q86-Liab!Q88-Liab!Q91-SUM(Liab!Q93:Q95)-Liab!Q97))</f>
        <v/>
      </c>
      <c r="R80" s="256" t="str">
        <f>IF(ISERROR(Liab!S84+Liab!S86+Liab!S88+Liab!S91+SUM(Liab!S93:S95)+Liab!S97-Liab!R84-Liab!R86-Liab!R88-Liab!R91-SUM(Liab!R93:R95)-Liab!R97),"",IF(Liab!S84+Liab!S86+Liab!S88+Liab!S91+SUM(Liab!S93:S95)+Liab!S97-Liab!R84-Liab!R86-Liab!R88-Liab!R91-SUM(Liab!R93:R95)-Liab!R97=0,"",Liab!S84+Liab!S86+Liab!S88+Liab!S91+SUM(Liab!S93:S95)+Liab!S97-Liab!R84-Liab!R86-Liab!R88-Liab!R91-SUM(Liab!R93:R95)-Liab!R97))</f>
        <v/>
      </c>
      <c r="S80" s="256" t="str">
        <f>IF(ISERROR(Liab!T84+Liab!T86+Liab!T88+Liab!T91+SUM(Liab!T93:T95)+Liab!T97-Liab!S84-Liab!S86-Liab!S88-Liab!S91-SUM(Liab!S93:S95)-Liab!S97),"",IF(Liab!T84+Liab!T86+Liab!T88+Liab!T91+SUM(Liab!T93:T95)+Liab!T97-Liab!S84-Liab!S86-Liab!S88-Liab!S91-SUM(Liab!S93:S95)-Liab!S97=0,"",Liab!T84+Liab!T86+Liab!T88+Liab!T91+SUM(Liab!T93:T95)+Liab!T97-Liab!S84-Liab!S86-Liab!S88-Liab!S91-SUM(Liab!S93:S95)-Liab!S97))</f>
        <v/>
      </c>
      <c r="T80" s="256" t="str">
        <f>IF(ISERROR(Liab!U84+Liab!U86+Liab!U88+Liab!U91+SUM(Liab!U93:U95)+Liab!U97-Liab!T84-Liab!T86-Liab!T88-Liab!T91-SUM(Liab!T93:T95)-Liab!T97),"",IF(Liab!U84+Liab!U86+Liab!U88+Liab!U91+SUM(Liab!U93:U95)+Liab!U97-Liab!T84-Liab!T86-Liab!T88-Liab!T91-SUM(Liab!T93:T95)-Liab!T97=0,"",Liab!U84+Liab!U86+Liab!U88+Liab!U91+SUM(Liab!U93:U95)+Liab!U97-Liab!T84-Liab!T86-Liab!T88-Liab!T91-SUM(Liab!T93:T95)-Liab!T97))</f>
        <v/>
      </c>
      <c r="U80" s="256" t="str">
        <f>IF(ISERROR(Liab!V84+Liab!V86+Liab!V88+Liab!V91+SUM(Liab!V93:V95)+Liab!V97-Liab!U84-Liab!U86-Liab!U88-Liab!U91-SUM(Liab!U93:U95)-Liab!U97),"",IF(Liab!V84+Liab!V86+Liab!V88+Liab!V91+SUM(Liab!V93:V95)+Liab!V97-Liab!U84-Liab!U86-Liab!U88-Liab!U91-SUM(Liab!U93:U95)-Liab!U97=0,"",Liab!V84+Liab!V86+Liab!V88+Liab!V91+SUM(Liab!V93:V95)+Liab!V97-Liab!U84-Liab!U86-Liab!U88-Liab!U91-SUM(Liab!U93:U95)-Liab!U97))</f>
        <v/>
      </c>
      <c r="V80" s="612"/>
    </row>
    <row r="81" spans="1:22" ht="14.25" hidden="1" customHeight="1" x14ac:dyDescent="0.2">
      <c r="A81" s="287" t="s">
        <v>609</v>
      </c>
      <c r="B81" s="280">
        <v>0</v>
      </c>
      <c r="C81" s="256" t="str">
        <f>IF(ISERROR(Liab!D65+Liab!D67-Liab!C65-Liab!C67),"",IF(Liab!D65+Liab!D67-Liab!C65-Liab!C67=0,"",Liab!D65+Liab!D67-Liab!C65-Liab!C67))</f>
        <v/>
      </c>
      <c r="D81" s="256">
        <f>IF(ISERROR(Liab!E65+Liab!E67-Liab!D65-Liab!D67),"",IF(Liab!E65+Liab!E67-Liab!D65-Liab!D67=0,"",Liab!E65+Liab!E67-Liab!D65-Liab!D67))</f>
        <v>2</v>
      </c>
      <c r="E81" s="256">
        <f>IF(ISERROR(Liab!F65+Liab!F67-Liab!E65-Liab!E67),"",IF(Liab!F65+Liab!F67-Liab!E65-Liab!E67=0,"",Liab!F65+Liab!F67-Liab!E65-Liab!E67))</f>
        <v>2.92</v>
      </c>
      <c r="F81" s="256">
        <f>IF(ISERROR(Liab!G65+Liab!G67-Liab!F65-Liab!F67),"",IF(Liab!G65+Liab!G67-Liab!F65-Liab!F67=0,"",Liab!G65+Liab!G67-Liab!F65-Liab!F67))</f>
        <v>5.92</v>
      </c>
      <c r="G81" s="256">
        <f>IF(ISERROR(Liab!H65+Liab!H67-Liab!G65-Liab!G67),"",IF(Liab!H65+Liab!H67-Liab!G65-Liab!G67=0,"",Liab!H65+Liab!H67-Liab!G65-Liab!G67))</f>
        <v>-1.4599999999999982</v>
      </c>
      <c r="H81" s="256">
        <f>IF(ISERROR(Liab!I65+Liab!I67-Liab!H65-Liab!H67),"",IF(Liab!I65+Liab!I67-Liab!H65-Liab!H67=0,"",Liab!I65+Liab!I67-Liab!H65-Liab!H67))</f>
        <v>-1.8199999999999892</v>
      </c>
      <c r="I81" s="256">
        <f>IF(ISERROR(Liab!J65+Liab!J67-Liab!I65-Liab!I67),"",IF(Liab!J65+Liab!J67-Liab!I65-Liab!I67=0,"",Liab!J65+Liab!J67-Liab!I65-Liab!I67))</f>
        <v>-2.1600000000000046</v>
      </c>
      <c r="J81" s="256">
        <f>IF(ISERROR(Liab!K65+Liab!K67-Liab!J65-Liab!J67),"",IF(Liab!K65+Liab!K67-Liab!J65-Liab!J67=0,"",Liab!K65+Liab!K67-Liab!J65-Liab!J67))</f>
        <v>-2.3999999999999964</v>
      </c>
      <c r="K81" s="256">
        <f>IF(ISERROR(Liab!L65+Liab!L67-Liab!K65-Liab!K67),"",IF(Liab!L65+Liab!L67-Liab!K65-Liab!K67=0,"",Liab!L65+Liab!L67-Liab!K65-Liab!K67))</f>
        <v>-3.0000000000000022</v>
      </c>
      <c r="L81" s="256">
        <f>IF(ISERROR(Liab!M65+Liab!M67-Liab!L65-Liab!L67),"",IF(Liab!M65+Liab!M67-Liab!L65-Liab!L67=0,"",Liab!M65+Liab!M67-Liab!L65-Liab!L67))</f>
        <v>-1.0658141036401503E-14</v>
      </c>
      <c r="M81" s="256" t="str">
        <f>IF(ISERROR(Liab!N65+Liab!N67-Liab!M65-Liab!M67),"",IF(Liab!N65+Liab!N67-Liab!M65-Liab!M67=0,"",Liab!N65+Liab!N67-Liab!M65-Liab!M67))</f>
        <v/>
      </c>
      <c r="N81" s="256" t="str">
        <f>IF(ISERROR(Liab!O65+Liab!O67-Liab!N65-Liab!N67),"",IF(Liab!O65+Liab!O67-Liab!N65-Liab!N67=0,"",Liab!O65+Liab!O67-Liab!N65-Liab!N67))</f>
        <v/>
      </c>
      <c r="O81" s="256" t="str">
        <f>IF(ISERROR(Liab!P65+Liab!P67-Liab!O65-Liab!O67),"",IF(Liab!P65+Liab!P67-Liab!O65-Liab!O67=0,"",Liab!P65+Liab!P67-Liab!O65-Liab!O67))</f>
        <v/>
      </c>
      <c r="P81" s="256" t="str">
        <f>IF(ISERROR(Liab!Q65+Liab!Q67-Liab!P65-Liab!P67),"",IF(Liab!Q65+Liab!Q67-Liab!P65-Liab!P67=0,"",Liab!Q65+Liab!Q67-Liab!P65-Liab!P67))</f>
        <v/>
      </c>
      <c r="Q81" s="256" t="str">
        <f>IF(ISERROR(Liab!R65+Liab!R67-Liab!Q65-Liab!Q67),"",IF(Liab!R65+Liab!R67-Liab!Q65-Liab!Q67=0,"",Liab!R65+Liab!R67-Liab!Q65-Liab!Q67))</f>
        <v/>
      </c>
      <c r="R81" s="256" t="str">
        <f>IF(ISERROR(Liab!S65+Liab!S67-Liab!R65-Liab!R67),"",IF(Liab!S65+Liab!S67-Liab!R65-Liab!R67=0,"",Liab!S65+Liab!S67-Liab!R65-Liab!R67))</f>
        <v/>
      </c>
      <c r="S81" s="256" t="str">
        <f>IF(ISERROR(Liab!T65+Liab!T67-Liab!S65-Liab!S67),"",IF(Liab!T65+Liab!T67-Liab!S65-Liab!S67=0,"",Liab!T65+Liab!T67-Liab!S65-Liab!S67))</f>
        <v/>
      </c>
      <c r="T81" s="256" t="str">
        <f>IF(ISERROR(Liab!U65+Liab!U67-Liab!T65-Liab!T67),"",IF(Liab!U65+Liab!U67-Liab!T65-Liab!T67=0,"",Liab!U65+Liab!U67-Liab!T65-Liab!T67))</f>
        <v/>
      </c>
      <c r="U81" s="256" t="str">
        <f>IF(ISERROR(Liab!V65+Liab!V67-Liab!U65-Liab!U67),"",IF(Liab!V65+Liab!V67-Liab!U65-Liab!U67=0,"",Liab!V65+Liab!V67-Liab!U65-Liab!U67))</f>
        <v/>
      </c>
      <c r="V81" s="612"/>
    </row>
    <row r="82" spans="1:22" ht="14.25" hidden="1" customHeight="1" x14ac:dyDescent="0.2">
      <c r="A82" s="287" t="s">
        <v>613</v>
      </c>
      <c r="B82" s="280">
        <v>0</v>
      </c>
      <c r="C82" s="256">
        <f>IF(ISERROR(Liab!D61+Liab!D63+SUM(Liab!D69:D72)+Liab!D74+Liab!D76-Liab!C61-Liab!C63-SUM(Liab!C69:C72)-Liab!C74-Liab!C76),"",IF(Liab!D61+Liab!D63+SUM(Liab!D69:D72)+Liab!D74+Liab!D76-Liab!C61-Liab!C63-SUM(Liab!C69:C72)-Liab!C74-Liab!C76=0,"",Liab!D61+Liab!D63+SUM(Liab!D69:D72)+Liab!D74+Liab!D76-Liab!C61-Liab!C63-SUM(Liab!C69:C72)-Liab!C74-Liab!C76))</f>
        <v>7.9999999999999988E-2</v>
      </c>
      <c r="D82" s="256">
        <f>IF(ISERROR(Liab!E61+Liab!E63+SUM(Liab!E69:E72)+Liab!E74+Liab!E76-Liab!D61-Liab!D63-SUM(Liab!D69:D72)-Liab!D74-Liab!D76),"",IF(Liab!E61+Liab!E63+SUM(Liab!E69:E72)+Liab!E74+Liab!E76-Liab!D61-Liab!D63-SUM(Liab!D69:D72)-Liab!D74-Liab!D76=0,"",Liab!E61+Liab!E63+SUM(Liab!E69:E72)+Liab!E74+Liab!E76-Liab!D61-Liab!D63-SUM(Liab!D69:D72)-Liab!D74-Liab!D76))</f>
        <v>1.04</v>
      </c>
      <c r="E82" s="256">
        <f>IF(ISERROR(Liab!F61+Liab!F63+SUM(Liab!F69:F72)+Liab!F74+Liab!F76-Liab!E61-Liab!E63-SUM(Liab!E69:E72)-Liab!E74-Liab!E76),"",IF(Liab!F61+Liab!F63+SUM(Liab!F69:F72)+Liab!F74+Liab!F76-Liab!E61-Liab!E63-SUM(Liab!E69:E72)-Liab!E74-Liab!E76=0,"",Liab!F61+Liab!F63+SUM(Liab!F69:F72)+Liab!F74+Liab!F76-Liab!E61-Liab!E63-SUM(Liab!E69:E72)-Liab!E74-Liab!E76))</f>
        <v>-1.1599999999999999</v>
      </c>
      <c r="F82" s="256" t="str">
        <f>IF(ISERROR(Liab!G61+Liab!G63+SUM(Liab!G69:G72)+Liab!G74+Liab!G76-Liab!F61-Liab!F63-SUM(Liab!F69:F72)-Liab!F74-Liab!F76),"",IF(Liab!G61+Liab!G63+SUM(Liab!G69:G72)+Liab!G74+Liab!G76-Liab!F61-Liab!F63-SUM(Liab!F69:F72)-Liab!F74-Liab!F76=0,"",Liab!G61+Liab!G63+SUM(Liab!G69:G72)+Liab!G74+Liab!G76-Liab!F61-Liab!F63-SUM(Liab!F69:F72)-Liab!F74-Liab!F76))</f>
        <v/>
      </c>
      <c r="G82" s="256" t="str">
        <f>IF(ISERROR(Liab!H61+Liab!H63+SUM(Liab!H69:H72)+Liab!H74+Liab!H76-Liab!G61-Liab!G63-SUM(Liab!G69:G72)-Liab!G74-Liab!G76),"",IF(Liab!H61+Liab!H63+SUM(Liab!H69:H72)+Liab!H74+Liab!H76-Liab!G61-Liab!G63-SUM(Liab!G69:G72)-Liab!G74-Liab!G76=0,"",Liab!H61+Liab!H63+SUM(Liab!H69:H72)+Liab!H74+Liab!H76-Liab!G61-Liab!G63-SUM(Liab!G69:G72)-Liab!G74-Liab!G76))</f>
        <v/>
      </c>
      <c r="H82" s="256" t="str">
        <f>IF(ISERROR(Liab!I61+Liab!I63+SUM(Liab!I69:I72)+Liab!I74+Liab!I76-Liab!H61-Liab!H63-SUM(Liab!H69:H72)-Liab!H74-Liab!H76),"",IF(Liab!I61+Liab!I63+SUM(Liab!I69:I72)+Liab!I74+Liab!I76-Liab!H61-Liab!H63-SUM(Liab!H69:H72)-Liab!H74-Liab!H76=0,"",Liab!I61+Liab!I63+SUM(Liab!I69:I72)+Liab!I74+Liab!I76-Liab!H61-Liab!H63-SUM(Liab!H69:H72)-Liab!H74-Liab!H76))</f>
        <v/>
      </c>
      <c r="I82" s="256" t="str">
        <f>IF(ISERROR(Liab!J61+Liab!J63+SUM(Liab!J69:J72)+Liab!J74+Liab!J76-Liab!I61-Liab!I63-SUM(Liab!I69:I72)-Liab!I74-Liab!I76),"",IF(Liab!J61+Liab!J63+SUM(Liab!J69:J72)+Liab!J74+Liab!J76-Liab!I61-Liab!I63-SUM(Liab!I69:I72)-Liab!I74-Liab!I76=0,"",Liab!J61+Liab!J63+SUM(Liab!J69:J72)+Liab!J74+Liab!J76-Liab!I61-Liab!I63-SUM(Liab!I69:I72)-Liab!I74-Liab!I76))</f>
        <v/>
      </c>
      <c r="J82" s="256" t="str">
        <f>IF(ISERROR(Liab!K61+Liab!K63+SUM(Liab!K69:K72)+Liab!K74+Liab!K76-Liab!J61-Liab!J63-SUM(Liab!J69:J72)-Liab!J74-Liab!J76),"",IF(Liab!K61+Liab!K63+SUM(Liab!K69:K72)+Liab!K74+Liab!K76-Liab!J61-Liab!J63-SUM(Liab!J69:J72)-Liab!J74-Liab!J76=0,"",Liab!K61+Liab!K63+SUM(Liab!K69:K72)+Liab!K74+Liab!K76-Liab!J61-Liab!J63-SUM(Liab!J69:J72)-Liab!J74-Liab!J76))</f>
        <v/>
      </c>
      <c r="K82" s="256" t="str">
        <f>IF(ISERROR(Liab!L61+Liab!L63+SUM(Liab!L69:L72)+Liab!L74+Liab!L76-Liab!K61-Liab!K63-SUM(Liab!K69:K72)-Liab!K74-Liab!K76),"",IF(Liab!L61+Liab!L63+SUM(Liab!L69:L72)+Liab!L74+Liab!L76-Liab!K61-Liab!K63-SUM(Liab!K69:K72)-Liab!K74-Liab!K76=0,"",Liab!L61+Liab!L63+SUM(Liab!L69:L72)+Liab!L74+Liab!L76-Liab!K61-Liab!K63-SUM(Liab!K69:K72)-Liab!K74-Liab!K76))</f>
        <v/>
      </c>
      <c r="L82" s="256" t="str">
        <f>IF(ISERROR(Liab!M61+Liab!M63+SUM(Liab!M69:M72)+Liab!M74+Liab!M76-Liab!L61-Liab!L63-SUM(Liab!L69:L72)-Liab!L74-Liab!L76),"",IF(Liab!M61+Liab!M63+SUM(Liab!M69:M72)+Liab!M74+Liab!M76-Liab!L61-Liab!L63-SUM(Liab!L69:L72)-Liab!L74-Liab!L76=0,"",Liab!M61+Liab!M63+SUM(Liab!M69:M72)+Liab!M74+Liab!M76-Liab!L61-Liab!L63-SUM(Liab!L69:L72)-Liab!L74-Liab!L76))</f>
        <v/>
      </c>
      <c r="M82" s="256" t="str">
        <f>IF(ISERROR(Liab!N61+Liab!N63+SUM(Liab!N69:N72)+Liab!N74+Liab!N76-Liab!M61-Liab!M63-SUM(Liab!M69:M72)-Liab!M74-Liab!M76),"",IF(Liab!N61+Liab!N63+SUM(Liab!N69:N72)+Liab!N74+Liab!N76-Liab!M61-Liab!M63-SUM(Liab!M69:M72)-Liab!M74-Liab!M76=0,"",Liab!N61+Liab!N63+SUM(Liab!N69:N72)+Liab!N74+Liab!N76-Liab!M61-Liab!M63-SUM(Liab!M69:M72)-Liab!M74-Liab!M76))</f>
        <v/>
      </c>
      <c r="N82" s="256" t="str">
        <f>IF(ISERROR(Liab!O61+Liab!O63+SUM(Liab!O69:O72)+Liab!O74+Liab!O76-Liab!N61-Liab!N63-SUM(Liab!N69:N72)-Liab!N74-Liab!N76),"",IF(Liab!O61+Liab!O63+SUM(Liab!O69:O72)+Liab!O74+Liab!O76-Liab!N61-Liab!N63-SUM(Liab!N69:N72)-Liab!N74-Liab!N76=0,"",Liab!O61+Liab!O63+SUM(Liab!O69:O72)+Liab!O74+Liab!O76-Liab!N61-Liab!N63-SUM(Liab!N69:N72)-Liab!N74-Liab!N76))</f>
        <v/>
      </c>
      <c r="O82" s="256" t="str">
        <f>IF(ISERROR(Liab!P61+Liab!P63+SUM(Liab!P69:P72)+Liab!P74+Liab!P76-Liab!O61-Liab!O63-SUM(Liab!O69:O72)-Liab!O74-Liab!O76),"",IF(Liab!P61+Liab!P63+SUM(Liab!P69:P72)+Liab!P74+Liab!P76-Liab!O61-Liab!O63-SUM(Liab!O69:O72)-Liab!O74-Liab!O76=0,"",Liab!P61+Liab!P63+SUM(Liab!P69:P72)+Liab!P74+Liab!P76-Liab!O61-Liab!O63-SUM(Liab!O69:O72)-Liab!O74-Liab!O76))</f>
        <v/>
      </c>
      <c r="P82" s="256" t="str">
        <f>IF(ISERROR(Liab!Q61+Liab!Q63+SUM(Liab!Q69:Q72)+Liab!Q74+Liab!Q76-Liab!P61-Liab!P63-SUM(Liab!P69:P72)-Liab!P74-Liab!P76),"",IF(Liab!Q61+Liab!Q63+SUM(Liab!Q69:Q72)+Liab!Q74+Liab!Q76-Liab!P61-Liab!P63-SUM(Liab!P69:P72)-Liab!P74-Liab!P76=0,"",Liab!Q61+Liab!Q63+SUM(Liab!Q69:Q72)+Liab!Q74+Liab!Q76-Liab!P61-Liab!P63-SUM(Liab!P69:P72)-Liab!P74-Liab!P76))</f>
        <v/>
      </c>
      <c r="Q82" s="256" t="str">
        <f>IF(ISERROR(Liab!R61+Liab!R63+SUM(Liab!R69:R72)+Liab!R74+Liab!R76-Liab!Q61-Liab!Q63-SUM(Liab!Q69:Q72)-Liab!Q74-Liab!Q76),"",IF(Liab!R61+Liab!R63+SUM(Liab!R69:R72)+Liab!R74+Liab!R76-Liab!Q61-Liab!Q63-SUM(Liab!Q69:Q72)-Liab!Q74-Liab!Q76=0,"",Liab!R61+Liab!R63+SUM(Liab!R69:R72)+Liab!R74+Liab!R76-Liab!Q61-Liab!Q63-SUM(Liab!Q69:Q72)-Liab!Q74-Liab!Q76))</f>
        <v/>
      </c>
      <c r="R82" s="256" t="str">
        <f>IF(ISERROR(Liab!S61+Liab!S63+SUM(Liab!S69:S72)+Liab!S74+Liab!S76-Liab!R61-Liab!R63-SUM(Liab!R69:R72)-Liab!R74-Liab!R76),"",IF(Liab!S61+Liab!S63+SUM(Liab!S69:S72)+Liab!S74+Liab!S76-Liab!R61-Liab!R63-SUM(Liab!R69:R72)-Liab!R74-Liab!R76=0,"",Liab!S61+Liab!S63+SUM(Liab!S69:S72)+Liab!S74+Liab!S76-Liab!R61-Liab!R63-SUM(Liab!R69:R72)-Liab!R74-Liab!R76))</f>
        <v/>
      </c>
      <c r="S82" s="256" t="str">
        <f>IF(ISERROR(Liab!T61+Liab!T63+SUM(Liab!T69:T72)+Liab!T74+Liab!T76-Liab!S61-Liab!S63-SUM(Liab!S69:S72)-Liab!S74-Liab!S76),"",IF(Liab!T61+Liab!T63+SUM(Liab!T69:T72)+Liab!T74+Liab!T76-Liab!S61-Liab!S63-SUM(Liab!S69:S72)-Liab!S74-Liab!S76=0,"",Liab!T61+Liab!T63+SUM(Liab!T69:T72)+Liab!T74+Liab!T76-Liab!S61-Liab!S63-SUM(Liab!S69:S72)-Liab!S74-Liab!S76))</f>
        <v/>
      </c>
      <c r="T82" s="256" t="str">
        <f>IF(ISERROR(Liab!U61+Liab!U63+SUM(Liab!U69:U72)+Liab!U74+Liab!U76-Liab!T61-Liab!T63-SUM(Liab!T69:T72)-Liab!T74-Liab!T76),"",IF(Liab!U61+Liab!U63+SUM(Liab!U69:U72)+Liab!U74+Liab!U76-Liab!T61-Liab!T63-SUM(Liab!T69:T72)-Liab!T74-Liab!T76=0,"",Liab!U61+Liab!U63+SUM(Liab!U69:U72)+Liab!U74+Liab!U76-Liab!T61-Liab!T63-SUM(Liab!T69:T72)-Liab!T74-Liab!T76))</f>
        <v/>
      </c>
      <c r="U82" s="256" t="str">
        <f>IF(ISERROR(Liab!V61+Liab!V63+SUM(Liab!V69:V72)+Liab!V74+Liab!V76-Liab!U61-Liab!U63-SUM(Liab!U69:U72)-Liab!U74-Liab!U76),"",IF(Liab!V61+Liab!V63+SUM(Liab!V69:V72)+Liab!V74+Liab!V76-Liab!U61-Liab!U63-SUM(Liab!U69:U72)-Liab!U74-Liab!U76=0,"",Liab!V61+Liab!V63+SUM(Liab!V69:V72)+Liab!V74+Liab!V76-Liab!U61-Liab!U63-SUM(Liab!U69:U72)-Liab!U74-Liab!U76))</f>
        <v/>
      </c>
      <c r="V82" s="612"/>
    </row>
    <row r="83" spans="1:22" s="304" customFormat="1" ht="15" hidden="1" customHeight="1" x14ac:dyDescent="0.25">
      <c r="A83" s="285" t="s">
        <v>258</v>
      </c>
      <c r="B83" s="256">
        <f>SUM(B79:B82)</f>
        <v>0</v>
      </c>
      <c r="C83" s="281">
        <f>SUM(C79:C82)</f>
        <v>0.19</v>
      </c>
      <c r="D83" s="281">
        <f t="shared" ref="D83:U83" si="11">SUM(D79:D82)</f>
        <v>3.33</v>
      </c>
      <c r="E83" s="281">
        <f t="shared" si="11"/>
        <v>9.9870000000000001</v>
      </c>
      <c r="F83" s="281">
        <f t="shared" si="11"/>
        <v>10.149999999999999</v>
      </c>
      <c r="G83" s="281">
        <f t="shared" si="11"/>
        <v>2.1975075000000035</v>
      </c>
      <c r="H83" s="281">
        <f t="shared" si="11"/>
        <v>1.9474090000000119</v>
      </c>
      <c r="I83" s="281">
        <f t="shared" si="11"/>
        <v>1.5217272499999952</v>
      </c>
      <c r="J83" s="281">
        <f t="shared" si="11"/>
        <v>1.2210794999999992</v>
      </c>
      <c r="K83" s="281">
        <f t="shared" si="11"/>
        <v>0.64840499999999812</v>
      </c>
      <c r="L83" s="281">
        <f t="shared" si="11"/>
        <v>3.7892687499999882</v>
      </c>
      <c r="M83" s="281">
        <f t="shared" si="11"/>
        <v>-10.119999999999999</v>
      </c>
      <c r="N83" s="281">
        <f t="shared" si="11"/>
        <v>0</v>
      </c>
      <c r="O83" s="281">
        <f t="shared" si="11"/>
        <v>0</v>
      </c>
      <c r="P83" s="281">
        <f t="shared" si="11"/>
        <v>0</v>
      </c>
      <c r="Q83" s="281">
        <f t="shared" si="11"/>
        <v>0</v>
      </c>
      <c r="R83" s="281">
        <f t="shared" si="11"/>
        <v>0</v>
      </c>
      <c r="S83" s="281">
        <f t="shared" si="11"/>
        <v>0</v>
      </c>
      <c r="T83" s="281">
        <f t="shared" si="11"/>
        <v>0</v>
      </c>
      <c r="U83" s="281">
        <f t="shared" si="11"/>
        <v>0</v>
      </c>
      <c r="V83" s="620"/>
    </row>
    <row r="84" spans="1:22" ht="15" hidden="1" customHeight="1" x14ac:dyDescent="0.25">
      <c r="A84" s="285" t="s">
        <v>58</v>
      </c>
      <c r="B84" s="256"/>
      <c r="C84" s="256"/>
      <c r="D84" s="256"/>
      <c r="E84" s="256"/>
      <c r="F84" s="256"/>
      <c r="G84" s="256"/>
      <c r="H84" s="256"/>
      <c r="I84" s="256"/>
      <c r="J84" s="256"/>
      <c r="K84" s="256"/>
      <c r="L84" s="256"/>
      <c r="M84" s="256"/>
      <c r="N84" s="256"/>
      <c r="O84" s="256"/>
      <c r="P84" s="256"/>
      <c r="Q84" s="256"/>
      <c r="R84" s="256"/>
      <c r="S84" s="256"/>
      <c r="T84" s="256"/>
      <c r="U84" s="256"/>
      <c r="V84" s="612"/>
    </row>
    <row r="85" spans="1:22" ht="14.25" hidden="1" customHeight="1" x14ac:dyDescent="0.2">
      <c r="A85" s="287" t="s">
        <v>59</v>
      </c>
      <c r="B85" s="280">
        <v>0</v>
      </c>
      <c r="C85" s="256">
        <f>IF(ISERROR(Asset!D60-Asset!C60),"",IF(Asset!D60-Asset!C60=0,"",Asset!D60-Asset!C60))</f>
        <v>1.999999999999999E-2</v>
      </c>
      <c r="D85" s="256">
        <f>IF(ISERROR(Asset!E60-Asset!D60),"",IF(Asset!E60-Asset!D60=0,"",Asset!E60-Asset!D60))</f>
        <v>3.9399999999999995</v>
      </c>
      <c r="E85" s="256">
        <f>IF(ISERROR(Asset!F60-Asset!E60),"",IF(Asset!F60-Asset!E60=0,"",Asset!F60-Asset!E60))</f>
        <v>8.4400000000000013</v>
      </c>
      <c r="F85" s="256">
        <f>IF(ISERROR(Asset!G60-Asset!F60),"",IF(Asset!G60-Asset!F60=0,"",Asset!G60-Asset!F60))</f>
        <v>9.2100000000000009</v>
      </c>
      <c r="G85" s="256" t="str">
        <f>IF(ISERROR(Asset!H60-Asset!G60),"",IF(Asset!H60-Asset!G60=0,"",Asset!H60-Asset!G60))</f>
        <v/>
      </c>
      <c r="H85" s="256" t="str">
        <f>IF(ISERROR(Asset!I60-Asset!H60),"",IF(Asset!I60-Asset!H60=0,"",Asset!I60-Asset!H60))</f>
        <v/>
      </c>
      <c r="I85" s="256" t="str">
        <f>IF(ISERROR(Asset!J60-Asset!I60),"",IF(Asset!J60-Asset!I60=0,"",Asset!J60-Asset!I60))</f>
        <v/>
      </c>
      <c r="J85" s="256" t="str">
        <f>IF(ISERROR(Asset!K60-Asset!J60),"",IF(Asset!K60-Asset!J60=0,"",Asset!K60-Asset!J60))</f>
        <v/>
      </c>
      <c r="K85" s="256" t="str">
        <f>IF(ISERROR(Asset!L60-Asset!K60),"",IF(Asset!L60-Asset!K60=0,"",Asset!L60-Asset!K60))</f>
        <v/>
      </c>
      <c r="L85" s="256" t="str">
        <f>IF(ISERROR(Asset!M60-Asset!L60),"",IF(Asset!M60-Asset!L60=0,"",Asset!M60-Asset!L60))</f>
        <v/>
      </c>
      <c r="M85" s="256" t="str">
        <f>IF(ISERROR(Asset!N60-Asset!M60),"",IF(Asset!N60-Asset!M60=0,"",Asset!N60-Asset!M60))</f>
        <v/>
      </c>
      <c r="N85" s="256" t="str">
        <f>IF(ISERROR(Asset!O60-Asset!N60),"",IF(Asset!O60-Asset!N60=0,"",Asset!O60-Asset!N60))</f>
        <v/>
      </c>
      <c r="O85" s="256" t="str">
        <f>IF(ISERROR(Asset!P60-Asset!O60),"",IF(Asset!P60-Asset!O60=0,"",Asset!P60-Asset!O60))</f>
        <v/>
      </c>
      <c r="P85" s="256">
        <f>IF(ISERROR(Asset!Q60-Asset!P60),"",IF(Asset!Q60-Asset!P60=0,"",Asset!Q60-Asset!P60))</f>
        <v>-21.71</v>
      </c>
      <c r="Q85" s="256" t="str">
        <f>IF(ISERROR(Asset!R60-Asset!Q60),"",IF(Asset!R60-Asset!Q60=0,"",Asset!R60-Asset!Q60))</f>
        <v/>
      </c>
      <c r="R85" s="256" t="str">
        <f>IF(ISERROR(Asset!S60-Asset!R60),"",IF(Asset!S60-Asset!R60=0,"",Asset!S60-Asset!R60))</f>
        <v/>
      </c>
      <c r="S85" s="256" t="str">
        <f>IF(ISERROR(Asset!T60-Asset!S60),"",IF(Asset!T60-Asset!S60=0,"",Asset!T60-Asset!S60))</f>
        <v/>
      </c>
      <c r="T85" s="256" t="str">
        <f>IF(ISERROR(Asset!U60-Asset!T60),"",IF(Asset!U60-Asset!T60=0,"",Asset!U60-Asset!T60))</f>
        <v/>
      </c>
      <c r="U85" s="256" t="str">
        <f>IF(ISERROR(Asset!V60-Asset!U60),"",IF(Asset!V60-Asset!U60=0,"",Asset!V60-Asset!U60))</f>
        <v/>
      </c>
      <c r="V85" s="612"/>
    </row>
    <row r="86" spans="1:22" ht="14.25" hidden="1" customHeight="1" x14ac:dyDescent="0.2">
      <c r="A86" s="287" t="s">
        <v>666</v>
      </c>
      <c r="B86" s="280">
        <v>0</v>
      </c>
      <c r="C86" s="256" t="str">
        <f>IF(ISERROR(SUM(Asset!D70:D71)+Asset!D73+SUM(Asset!D75:D84)+Asset!D89-SUM(Asset!C70:C71)-Asset!C73-SUM(Asset!C75:C84)-Asset!C89),"",IF(SUM(Asset!D70:D71)+Asset!D73+SUM(Asset!D75:D84)+Asset!D89-SUM(Asset!C70:C71)-Asset!C73-SUM(Asset!C75:C84)-Asset!C89=0,"",SUM(Asset!D70:D71)+Asset!D73+SUM(Asset!D75:D84)+Asset!D89-SUM(Asset!C70:C71)-Asset!C73-SUM(Asset!C75:C84)-Asset!C89))</f>
        <v/>
      </c>
      <c r="D86" s="256">
        <f>IF(ISERROR(SUM(Asset!E70:E71)+Asset!E73+SUM(Asset!E75:E84)+Asset!E89-SUM(Asset!D70:D71)-Asset!D73-SUM(Asset!D75:D84)-Asset!D89),"",IF(SUM(Asset!E70:E71)+Asset!E73+SUM(Asset!E75:E84)+Asset!E89-SUM(Asset!D70:D71)-Asset!D73-SUM(Asset!D75:D84)-Asset!D89=0,"",SUM(Asset!E70:E71)+Asset!E73+SUM(Asset!E75:E84)+Asset!E89-SUM(Asset!D70:D71)-Asset!D73-SUM(Asset!D75:D84)-Asset!D89))</f>
        <v>0.17</v>
      </c>
      <c r="E86" s="256">
        <f>IF(ISERROR(SUM(Asset!F70:F71)+Asset!F73+SUM(Asset!F75:F84)+Asset!F89-SUM(Asset!E70:E71)-Asset!E73-SUM(Asset!E75:E84)-Asset!E89),"",IF(SUM(Asset!F70:F71)+Asset!F73+SUM(Asset!F75:F84)+Asset!F89-SUM(Asset!E70:E71)-Asset!E73-SUM(Asset!E75:E84)-Asset!E89=0,"",SUM(Asset!F70:F71)+Asset!F73+SUM(Asset!F75:F84)+Asset!F89-SUM(Asset!E70:E71)-Asset!E73-SUM(Asset!E75:E84)-Asset!E89))</f>
        <v>1.6</v>
      </c>
      <c r="F86" s="256">
        <f>IF(ISERROR(SUM(Asset!G70:G71)+Asset!G73+SUM(Asset!G75:G84)+Asset!G89-SUM(Asset!F70:F71)-Asset!F73-SUM(Asset!F75:F84)-Asset!F89),"",IF(SUM(Asset!G70:G71)+Asset!G73+SUM(Asset!G75:G84)+Asset!G89-SUM(Asset!F70:F71)-Asset!F73-SUM(Asset!F75:F84)-Asset!F89=0,"",SUM(Asset!G70:G71)+Asset!G73+SUM(Asset!G75:G84)+Asset!G89-SUM(Asset!F70:F71)-Asset!F73-SUM(Asset!F75:F84)-Asset!F89))</f>
        <v>-1.37</v>
      </c>
      <c r="G86" s="256">
        <f>IF(ISERROR(SUM(Asset!H70:H71)+Asset!H73+SUM(Asset!H75:H84)+Asset!H89-SUM(Asset!G70:G71)-Asset!G73-SUM(Asset!G75:G84)-Asset!G89),"",IF(SUM(Asset!H70:H71)+Asset!H73+SUM(Asset!H75:H84)+Asset!H89-SUM(Asset!G70:G71)-Asset!G73-SUM(Asset!G75:G84)-Asset!G89=0,"",SUM(Asset!H70:H71)+Asset!H73+SUM(Asset!H75:H84)+Asset!H89-SUM(Asset!G70:G71)-Asset!G73-SUM(Asset!G75:G84)-Asset!G89))</f>
        <v>-2.0000000000000004E-2</v>
      </c>
      <c r="H86" s="256">
        <f>IF(ISERROR(SUM(Asset!I70:I71)+Asset!I73+SUM(Asset!I75:I84)+Asset!I89-SUM(Asset!H70:H71)-Asset!H73-SUM(Asset!H75:H84)-Asset!H89),"",IF(SUM(Asset!I70:I71)+Asset!I73+SUM(Asset!I75:I84)+Asset!I89-SUM(Asset!H70:H71)-Asset!H73-SUM(Asset!H75:H84)-Asset!H89=0,"",SUM(Asset!I70:I71)+Asset!I73+SUM(Asset!I75:I84)+Asset!I89-SUM(Asset!H70:H71)-Asset!H73-SUM(Asset!H75:H84)-Asset!H89))</f>
        <v>-2.0000000000000018E-2</v>
      </c>
      <c r="I86" s="256">
        <f>IF(ISERROR(SUM(Asset!J70:J71)+Asset!J73+SUM(Asset!J75:J84)+Asset!J89-SUM(Asset!I70:I71)-Asset!I73-SUM(Asset!I75:I84)-Asset!I89),"",IF(SUM(Asset!J70:J71)+Asset!J73+SUM(Asset!J75:J84)+Asset!J89-SUM(Asset!I70:I71)-Asset!I73-SUM(Asset!I75:I84)-Asset!I89=0,"",SUM(Asset!J70:J71)+Asset!J73+SUM(Asset!J75:J84)+Asset!J89-SUM(Asset!I70:I71)-Asset!I73-SUM(Asset!I75:I84)-Asset!I89))</f>
        <v>-1.9999999999999983E-2</v>
      </c>
      <c r="J86" s="256">
        <f>IF(ISERROR(SUM(Asset!K70:K71)+Asset!K73+SUM(Asset!K75:K84)+Asset!K89-SUM(Asset!J70:J71)-Asset!J73-SUM(Asset!J75:J84)-Asset!J89),"",IF(SUM(Asset!K70:K71)+Asset!K73+SUM(Asset!K75:K84)+Asset!K89-SUM(Asset!J70:J71)-Asset!J73-SUM(Asset!J75:J84)-Asset!J89=0,"",SUM(Asset!K70:K71)+Asset!K73+SUM(Asset!K75:K84)+Asset!K89-SUM(Asset!J70:J71)-Asset!J73-SUM(Asset!J75:J84)-Asset!J89))</f>
        <v>-0.02</v>
      </c>
      <c r="K86" s="256" t="str">
        <f>IF(ISERROR(SUM(Asset!L70:L71)+Asset!L73+SUM(Asset!L75:L84)+Asset!L89-SUM(Asset!K70:K71)-Asset!K73-SUM(Asset!K75:K84)-Asset!K89),"",IF(SUM(Asset!L70:L71)+Asset!L73+SUM(Asset!L75:L84)+Asset!L89-SUM(Asset!K70:K71)-Asset!K73-SUM(Asset!K75:K84)-Asset!K89=0,"",SUM(Asset!L70:L71)+Asset!L73+SUM(Asset!L75:L84)+Asset!L89-SUM(Asset!K70:K71)-Asset!K73-SUM(Asset!K75:K84)-Asset!K89))</f>
        <v/>
      </c>
      <c r="L86" s="256" t="str">
        <f>IF(ISERROR(SUM(Asset!M70:M71)+Asset!M73+SUM(Asset!M75:M84)+Asset!M89-SUM(Asset!L70:L71)-Asset!L73-SUM(Asset!L75:L84)-Asset!L89),"",IF(SUM(Asset!M70:M71)+Asset!M73+SUM(Asset!M75:M84)+Asset!M89-SUM(Asset!L70:L71)-Asset!L73-SUM(Asset!L75:L84)-Asset!L89=0,"",SUM(Asset!M70:M71)+Asset!M73+SUM(Asset!M75:M84)+Asset!M89-SUM(Asset!L70:L71)-Asset!L73-SUM(Asset!L75:L84)-Asset!L89))</f>
        <v/>
      </c>
      <c r="M86" s="256">
        <f>IF(ISERROR(SUM(Asset!N70:N71)+Asset!N73+SUM(Asset!N75:N84)+Asset!N89-SUM(Asset!M70:M71)-Asset!M73-SUM(Asset!M75:M84)-Asset!M89),"",IF(SUM(Asset!N70:N71)+Asset!N73+SUM(Asset!N75:N84)+Asset!N89-SUM(Asset!M70:M71)-Asset!M73-SUM(Asset!M75:M84)-Asset!M89=0,"",SUM(Asset!N70:N71)+Asset!N73+SUM(Asset!N75:N84)+Asset!N89-SUM(Asset!M70:M71)-Asset!M73-SUM(Asset!M75:M84)-Asset!M89))</f>
        <v>-0.32</v>
      </c>
      <c r="N86" s="256" t="str">
        <f>IF(ISERROR(SUM(Asset!O70:O71)+Asset!O73+SUM(Asset!O75:O84)+Asset!O89-SUM(Asset!N70:N71)-Asset!N73-SUM(Asset!N75:N84)-Asset!N89),"",IF(SUM(Asset!O70:O71)+Asset!O73+SUM(Asset!O75:O84)+Asset!O89-SUM(Asset!N70:N71)-Asset!N73-SUM(Asset!N75:N84)-Asset!N89=0,"",SUM(Asset!O70:O71)+Asset!O73+SUM(Asset!O75:O84)+Asset!O89-SUM(Asset!N70:N71)-Asset!N73-SUM(Asset!N75:N84)-Asset!N89))</f>
        <v/>
      </c>
      <c r="O86" s="256" t="str">
        <f>IF(ISERROR(SUM(Asset!P70:P71)+Asset!P73+SUM(Asset!P75:P84)+Asset!P89-SUM(Asset!O70:O71)-Asset!O73-SUM(Asset!O75:O84)-Asset!O89),"",IF(SUM(Asset!P70:P71)+Asset!P73+SUM(Asset!P75:P84)+Asset!P89-SUM(Asset!O70:O71)-Asset!O73-SUM(Asset!O75:O84)-Asset!O89=0,"",SUM(Asset!P70:P71)+Asset!P73+SUM(Asset!P75:P84)+Asset!P89-SUM(Asset!O70:O71)-Asset!O73-SUM(Asset!O75:O84)-Asset!O89))</f>
        <v/>
      </c>
      <c r="P86" s="256" t="str">
        <f>IF(ISERROR(SUM(Asset!Q70:Q71)+Asset!Q73+SUM(Asset!Q75:Q84)+Asset!Q89-SUM(Asset!P70:P71)-Asset!P73-SUM(Asset!P75:P84)-Asset!P89),"",IF(SUM(Asset!Q70:Q71)+Asset!Q73+SUM(Asset!Q75:Q84)+Asset!Q89-SUM(Asset!P70:P71)-Asset!P73-SUM(Asset!P75:P84)-Asset!P89=0,"",SUM(Asset!Q70:Q71)+Asset!Q73+SUM(Asset!Q75:Q84)+Asset!Q89-SUM(Asset!P70:P71)-Asset!P73-SUM(Asset!P75:P84)-Asset!P89))</f>
        <v/>
      </c>
      <c r="Q86" s="256" t="str">
        <f>IF(ISERROR(SUM(Asset!R70:R71)+Asset!R73+SUM(Asset!R75:R84)+Asset!R89-SUM(Asset!Q70:Q71)-Asset!Q73-SUM(Asset!Q75:Q84)-Asset!Q89),"",IF(SUM(Asset!R70:R71)+Asset!R73+SUM(Asset!R75:R84)+Asset!R89-SUM(Asset!Q70:Q71)-Asset!Q73-SUM(Asset!Q75:Q84)-Asset!Q89=0,"",SUM(Asset!R70:R71)+Asset!R73+SUM(Asset!R75:R84)+Asset!R89-SUM(Asset!Q70:Q71)-Asset!Q73-SUM(Asset!Q75:Q84)-Asset!Q89))</f>
        <v/>
      </c>
      <c r="R86" s="256" t="str">
        <f>IF(ISERROR(SUM(Asset!S70:S71)+Asset!S73+SUM(Asset!S75:S84)+Asset!S89-SUM(Asset!R70:R71)-Asset!R73-SUM(Asset!R75:R84)-Asset!R89),"",IF(SUM(Asset!S70:S71)+Asset!S73+SUM(Asset!S75:S84)+Asset!S89-SUM(Asset!R70:R71)-Asset!R73-SUM(Asset!R75:R84)-Asset!R89=0,"",SUM(Asset!S70:S71)+Asset!S73+SUM(Asset!S75:S84)+Asset!S89-SUM(Asset!R70:R71)-Asset!R73-SUM(Asset!R75:R84)-Asset!R89))</f>
        <v/>
      </c>
      <c r="S86" s="256" t="str">
        <f>IF(ISERROR(SUM(Asset!T70:T71)+Asset!T73+SUM(Asset!T75:T84)+Asset!T89-SUM(Asset!S70:S71)-Asset!S73-SUM(Asset!S75:S84)-Asset!S89),"",IF(SUM(Asset!T70:T71)+Asset!T73+SUM(Asset!T75:T84)+Asset!T89-SUM(Asset!S70:S71)-Asset!S73-SUM(Asset!S75:S84)-Asset!S89=0,"",SUM(Asset!T70:T71)+Asset!T73+SUM(Asset!T75:T84)+Asset!T89-SUM(Asset!S70:S71)-Asset!S73-SUM(Asset!S75:S84)-Asset!S89))</f>
        <v/>
      </c>
      <c r="T86" s="256" t="str">
        <f>IF(ISERROR(SUM(Asset!U70:U71)+Asset!U73+SUM(Asset!U75:U84)+Asset!U89-SUM(Asset!T70:T71)-Asset!T73-SUM(Asset!T75:T84)-Asset!T89),"",IF(SUM(Asset!U70:U71)+Asset!U73+SUM(Asset!U75:U84)+Asset!U89-SUM(Asset!T70:T71)-Asset!T73-SUM(Asset!T75:T84)-Asset!T89=0,"",SUM(Asset!U70:U71)+Asset!U73+SUM(Asset!U75:U84)+Asset!U89-SUM(Asset!T70:T71)-Asset!T73-SUM(Asset!T75:T84)-Asset!T89))</f>
        <v/>
      </c>
      <c r="U86" s="256" t="str">
        <f>IF(ISERROR(SUM(Asset!V70:V71)+Asset!V73+SUM(Asset!V75:V84)+Asset!V89-SUM(Asset!U70:U71)-Asset!U73-SUM(Asset!U75:U84)-Asset!U89),"",IF(SUM(Asset!V70:V71)+Asset!V73+SUM(Asset!V75:V84)+Asset!V89-SUM(Asset!U70:U71)-Asset!U73-SUM(Asset!U75:U84)-Asset!U89=0,"",SUM(Asset!V70:V71)+Asset!V73+SUM(Asset!V75:V84)+Asset!V89-SUM(Asset!U70:U71)-Asset!U73-SUM(Asset!U75:U84)-Asset!U89))</f>
        <v/>
      </c>
      <c r="V86" s="612"/>
    </row>
    <row r="87" spans="1:22" s="304" customFormat="1" ht="15" hidden="1" customHeight="1" x14ac:dyDescent="0.25">
      <c r="A87" s="285" t="s">
        <v>258</v>
      </c>
      <c r="B87" s="281">
        <f>SUM(B85:B86)</f>
        <v>0</v>
      </c>
      <c r="C87" s="281">
        <f>SUM(C85:C86)</f>
        <v>1.999999999999999E-2</v>
      </c>
      <c r="D87" s="281">
        <f t="shared" ref="D87:U87" si="12">SUM(D85:D86)</f>
        <v>4.1099999999999994</v>
      </c>
      <c r="E87" s="281">
        <f t="shared" si="12"/>
        <v>10.040000000000001</v>
      </c>
      <c r="F87" s="281">
        <f t="shared" si="12"/>
        <v>7.8400000000000007</v>
      </c>
      <c r="G87" s="281">
        <f t="shared" si="12"/>
        <v>-2.0000000000000004E-2</v>
      </c>
      <c r="H87" s="281">
        <f t="shared" si="12"/>
        <v>-2.0000000000000018E-2</v>
      </c>
      <c r="I87" s="281">
        <f t="shared" si="12"/>
        <v>-1.9999999999999983E-2</v>
      </c>
      <c r="J87" s="281">
        <f t="shared" si="12"/>
        <v>-0.02</v>
      </c>
      <c r="K87" s="281">
        <f t="shared" si="12"/>
        <v>0</v>
      </c>
      <c r="L87" s="281">
        <f t="shared" si="12"/>
        <v>0</v>
      </c>
      <c r="M87" s="281">
        <f t="shared" si="12"/>
        <v>-0.32</v>
      </c>
      <c r="N87" s="281">
        <f t="shared" si="12"/>
        <v>0</v>
      </c>
      <c r="O87" s="281">
        <f t="shared" si="12"/>
        <v>0</v>
      </c>
      <c r="P87" s="281">
        <f t="shared" si="12"/>
        <v>-21.71</v>
      </c>
      <c r="Q87" s="281">
        <f t="shared" si="12"/>
        <v>0</v>
      </c>
      <c r="R87" s="281">
        <f t="shared" si="12"/>
        <v>0</v>
      </c>
      <c r="S87" s="281">
        <f t="shared" si="12"/>
        <v>0</v>
      </c>
      <c r="T87" s="281">
        <f t="shared" si="12"/>
        <v>0</v>
      </c>
      <c r="U87" s="281">
        <f t="shared" si="12"/>
        <v>0</v>
      </c>
      <c r="V87" s="620"/>
    </row>
    <row r="88" spans="1:22" s="304" customFormat="1" ht="28.5" hidden="1" customHeight="1" x14ac:dyDescent="0.25">
      <c r="A88" s="285" t="s">
        <v>60</v>
      </c>
      <c r="B88" s="281">
        <f>B83-B87</f>
        <v>0</v>
      </c>
      <c r="C88" s="281">
        <f>C83-C87</f>
        <v>0.17</v>
      </c>
      <c r="D88" s="281">
        <f t="shared" ref="D88:U88" si="13">D83-D87</f>
        <v>-0.77999999999999936</v>
      </c>
      <c r="E88" s="281">
        <f t="shared" si="13"/>
        <v>-5.3000000000000824E-2</v>
      </c>
      <c r="F88" s="281">
        <f t="shared" si="13"/>
        <v>2.3099999999999978</v>
      </c>
      <c r="G88" s="281">
        <f t="shared" si="13"/>
        <v>2.2175075000000035</v>
      </c>
      <c r="H88" s="281">
        <f t="shared" si="13"/>
        <v>1.967409000000012</v>
      </c>
      <c r="I88" s="281">
        <f t="shared" si="13"/>
        <v>1.5417272499999952</v>
      </c>
      <c r="J88" s="281">
        <f t="shared" si="13"/>
        <v>1.2410794999999992</v>
      </c>
      <c r="K88" s="281">
        <f t="shared" si="13"/>
        <v>0.64840499999999812</v>
      </c>
      <c r="L88" s="281">
        <f t="shared" si="13"/>
        <v>3.7892687499999882</v>
      </c>
      <c r="M88" s="281">
        <f t="shared" si="13"/>
        <v>-9.7999999999999989</v>
      </c>
      <c r="N88" s="281">
        <f t="shared" si="13"/>
        <v>0</v>
      </c>
      <c r="O88" s="281">
        <f t="shared" si="13"/>
        <v>0</v>
      </c>
      <c r="P88" s="281">
        <f t="shared" si="13"/>
        <v>21.71</v>
      </c>
      <c r="Q88" s="281">
        <f t="shared" si="13"/>
        <v>0</v>
      </c>
      <c r="R88" s="281">
        <f t="shared" si="13"/>
        <v>0</v>
      </c>
      <c r="S88" s="281">
        <f t="shared" si="13"/>
        <v>0</v>
      </c>
      <c r="T88" s="281">
        <f t="shared" si="13"/>
        <v>0</v>
      </c>
      <c r="U88" s="281">
        <f t="shared" si="13"/>
        <v>0</v>
      </c>
      <c r="V88" s="620"/>
    </row>
    <row r="89" spans="1:22" s="304" customFormat="1" ht="22.5" hidden="1" customHeight="1" x14ac:dyDescent="0.25">
      <c r="A89" s="259" t="s">
        <v>458</v>
      </c>
      <c r="B89" s="284"/>
      <c r="C89" s="284"/>
      <c r="D89" s="284"/>
      <c r="E89" s="284"/>
      <c r="F89" s="284"/>
      <c r="G89" s="284"/>
      <c r="H89" s="284"/>
      <c r="I89" s="284"/>
      <c r="J89" s="284"/>
      <c r="K89" s="284"/>
      <c r="L89" s="284"/>
      <c r="M89" s="284"/>
      <c r="N89" s="284"/>
      <c r="O89" s="284"/>
      <c r="P89" s="284"/>
      <c r="Q89" s="284"/>
      <c r="R89" s="284"/>
      <c r="S89" s="284"/>
      <c r="T89" s="284"/>
      <c r="U89" s="284"/>
      <c r="V89" s="620"/>
    </row>
    <row r="90" spans="1:22" s="297" customFormat="1" ht="12.75" hidden="1" customHeight="1" x14ac:dyDescent="0.25">
      <c r="A90" s="296"/>
      <c r="B90" s="261">
        <f>B3</f>
        <v>2020</v>
      </c>
      <c r="C90" s="261">
        <f>C3</f>
        <v>2021</v>
      </c>
      <c r="D90" s="261">
        <f t="shared" ref="D90:U90" si="14">D3</f>
        <v>2022</v>
      </c>
      <c r="E90" s="261">
        <f t="shared" si="14"/>
        <v>2023</v>
      </c>
      <c r="F90" s="261">
        <f t="shared" si="14"/>
        <v>2024</v>
      </c>
      <c r="G90" s="261">
        <f t="shared" si="14"/>
        <v>2025</v>
      </c>
      <c r="H90" s="261">
        <f t="shared" si="14"/>
        <v>2026</v>
      </c>
      <c r="I90" s="261">
        <f t="shared" si="14"/>
        <v>2027</v>
      </c>
      <c r="J90" s="261">
        <f t="shared" si="14"/>
        <v>2028</v>
      </c>
      <c r="K90" s="261">
        <f t="shared" si="14"/>
        <v>2029</v>
      </c>
      <c r="L90" s="261">
        <f t="shared" si="14"/>
        <v>2030</v>
      </c>
      <c r="M90" s="261">
        <f t="shared" si="14"/>
        <v>2031</v>
      </c>
      <c r="N90" s="261">
        <f t="shared" si="14"/>
        <v>2032</v>
      </c>
      <c r="O90" s="261">
        <f t="shared" si="14"/>
        <v>2033</v>
      </c>
      <c r="P90" s="261">
        <f t="shared" si="14"/>
        <v>2034</v>
      </c>
      <c r="Q90" s="261">
        <f t="shared" si="14"/>
        <v>2035</v>
      </c>
      <c r="R90" s="261">
        <f t="shared" si="14"/>
        <v>2036</v>
      </c>
      <c r="S90" s="261">
        <f t="shared" si="14"/>
        <v>2037</v>
      </c>
      <c r="T90" s="261">
        <f t="shared" si="14"/>
        <v>2038</v>
      </c>
      <c r="U90" s="261">
        <f t="shared" si="14"/>
        <v>2039</v>
      </c>
      <c r="V90" s="613"/>
    </row>
    <row r="91" spans="1:22" s="297" customFormat="1" ht="12.75" hidden="1" customHeight="1" x14ac:dyDescent="0.25">
      <c r="A91" s="296"/>
      <c r="B91" s="261" t="str">
        <f>B78</f>
        <v>AUD.</v>
      </c>
      <c r="C91" s="261" t="str">
        <f>C78</f>
        <v>AUD.</v>
      </c>
      <c r="D91" s="261" t="str">
        <f t="shared" ref="D91:U91" si="15">D78</f>
        <v>AUD.</v>
      </c>
      <c r="E91" s="261" t="str">
        <f t="shared" si="15"/>
        <v>EST.</v>
      </c>
      <c r="F91" s="261" t="str">
        <f t="shared" si="15"/>
        <v>PROJ.</v>
      </c>
      <c r="G91" s="261" t="str">
        <f t="shared" si="15"/>
        <v>PROJ.</v>
      </c>
      <c r="H91" s="261" t="str">
        <f t="shared" si="15"/>
        <v>PROJ.</v>
      </c>
      <c r="I91" s="261" t="str">
        <f t="shared" si="15"/>
        <v>PROJ.</v>
      </c>
      <c r="J91" s="261" t="str">
        <f t="shared" si="15"/>
        <v>PROJ.</v>
      </c>
      <c r="K91" s="261" t="str">
        <f t="shared" si="15"/>
        <v>PROJ.</v>
      </c>
      <c r="L91" s="261" t="str">
        <f t="shared" si="15"/>
        <v>PROJ.</v>
      </c>
      <c r="M91" s="261" t="str">
        <f t="shared" si="15"/>
        <v>PROJ.</v>
      </c>
      <c r="N91" s="261" t="str">
        <f t="shared" si="15"/>
        <v>PROJ.</v>
      </c>
      <c r="O91" s="261" t="str">
        <f t="shared" si="15"/>
        <v>PROJ.</v>
      </c>
      <c r="P91" s="261" t="str">
        <f t="shared" si="15"/>
        <v>PROJ.</v>
      </c>
      <c r="Q91" s="261" t="str">
        <f t="shared" si="15"/>
        <v>PROJ.</v>
      </c>
      <c r="R91" s="261" t="str">
        <f t="shared" si="15"/>
        <v>PROJ.</v>
      </c>
      <c r="S91" s="261" t="str">
        <f t="shared" si="15"/>
        <v>PROJ.</v>
      </c>
      <c r="T91" s="261" t="str">
        <f t="shared" si="15"/>
        <v>PROJ.</v>
      </c>
      <c r="U91" s="261" t="str">
        <f t="shared" si="15"/>
        <v>PROJ.</v>
      </c>
      <c r="V91" s="613"/>
    </row>
    <row r="92" spans="1:22" ht="25.5" hidden="1" customHeight="1" x14ac:dyDescent="0.2">
      <c r="A92" s="287" t="s">
        <v>454</v>
      </c>
      <c r="B92" s="256">
        <f>IF(ISERROR('Cash Flow'!B21),"",IF('Cash Flow'!B21=0,"",'Cash Flow'!B21))</f>
        <v>9.9999999999999978E-2</v>
      </c>
      <c r="C92" s="256">
        <f>IF(ISERROR('Cash Flow'!C21),"",IF('Cash Flow'!C21=0,"",'Cash Flow'!C21))</f>
        <v>9.9999999999999881E-3</v>
      </c>
      <c r="D92" s="256">
        <f>IF(ISERROR('Cash Flow'!D21),"",IF('Cash Flow'!D21=0,"",'Cash Flow'!D21))</f>
        <v>0.35000000000000026</v>
      </c>
      <c r="E92" s="256">
        <f>IF(ISERROR('Cash Flow'!E21),"",IF('Cash Flow'!E21=0,"",'Cash Flow'!E21))</f>
        <v>0.46999999999999975</v>
      </c>
      <c r="F92" s="256">
        <f>IF(ISERROR('Cash Flow'!F21),"",IF('Cash Flow'!F21=0,"",'Cash Flow'!F21))</f>
        <v>-1.6829999999999985</v>
      </c>
      <c r="G92" s="256">
        <f>IF(ISERROR('Cash Flow'!G21),"",IF('Cash Flow'!G21=0,"",'Cash Flow'!G21))</f>
        <v>3.3550868750000018</v>
      </c>
      <c r="H92" s="256">
        <f>IF(ISERROR('Cash Flow'!H21),"",IF('Cash Flow'!H21=0,"",'Cash Flow'!H21))</f>
        <v>2.4485998750000011</v>
      </c>
      <c r="I92" s="256">
        <f>IF(ISERROR('Cash Flow'!I21),"",IF('Cash Flow'!I21=0,"",'Cash Flow'!I21))</f>
        <v>2.6600795625</v>
      </c>
      <c r="J92" s="256">
        <f>IF(ISERROR('Cash Flow'!J21),"",IF('Cash Flow'!J21=0,"",'Cash Flow'!J21))</f>
        <v>2.8416108124999964</v>
      </c>
      <c r="K92" s="256">
        <f>IF(ISERROR('Cash Flow'!K21),"",IF('Cash Flow'!K21=0,"",'Cash Flow'!K21))</f>
        <v>2.9525398750000007</v>
      </c>
      <c r="L92" s="256">
        <f>IF(ISERROR('Cash Flow'!L21),"",IF('Cash Flow'!L21=0,"",'Cash Flow'!L21))</f>
        <v>3.2829059375000011</v>
      </c>
      <c r="M92" s="256">
        <f>IF(ISERROR('Cash Flow'!M21),"",IF('Cash Flow'!M21=0,"",'Cash Flow'!M21))</f>
        <v>14.206864062499999</v>
      </c>
      <c r="N92" s="256" t="str">
        <f>IF(ISERROR('Cash Flow'!N21),"",IF('Cash Flow'!N21=0,"",'Cash Flow'!N21))</f>
        <v/>
      </c>
      <c r="O92" s="256" t="str">
        <f>IF(ISERROR('Cash Flow'!O21),"",IF('Cash Flow'!O21=0,"",'Cash Flow'!O21))</f>
        <v/>
      </c>
      <c r="P92" s="256" t="str">
        <f>IF(ISERROR('Cash Flow'!P21),"",IF('Cash Flow'!P21=0,"",'Cash Flow'!P21))</f>
        <v/>
      </c>
      <c r="Q92" s="256" t="str">
        <f>IF(ISERROR('Cash Flow'!Q21),"",IF('Cash Flow'!Q21=0,"",'Cash Flow'!Q21))</f>
        <v/>
      </c>
      <c r="R92" s="256" t="str">
        <f>IF(ISERROR('Cash Flow'!R21),"",IF('Cash Flow'!R21=0,"",'Cash Flow'!R21))</f>
        <v/>
      </c>
      <c r="S92" s="256" t="str">
        <f>IF(ISERROR('Cash Flow'!S21),"",IF('Cash Flow'!S21=0,"",'Cash Flow'!S21))</f>
        <v/>
      </c>
      <c r="T92" s="256" t="str">
        <f>IF(ISERROR('Cash Flow'!T21),"",IF('Cash Flow'!T21=0,"",'Cash Flow'!T21))</f>
        <v/>
      </c>
      <c r="U92" s="256" t="str">
        <f>IF(ISERROR('Cash Flow'!U21),"",IF('Cash Flow'!U21=0,"",'Cash Flow'!U21))</f>
        <v/>
      </c>
      <c r="V92" s="612"/>
    </row>
    <row r="93" spans="1:22" ht="25.5" hidden="1" customHeight="1" x14ac:dyDescent="0.2">
      <c r="A93" s="287" t="s">
        <v>455</v>
      </c>
      <c r="B93" s="256" t="str">
        <f>IF(ISERROR('Cash Flow'!B32),"",IF('Cash Flow'!B32=0,"",'Cash Flow'!B32))</f>
        <v/>
      </c>
      <c r="C93" s="256">
        <f>IF(ISERROR('Cash Flow'!C32),"",IF('Cash Flow'!C32=0,"",'Cash Flow'!C32))</f>
        <v>-1.999999999999999E-2</v>
      </c>
      <c r="D93" s="256">
        <f>IF(ISERROR('Cash Flow'!D32),"",IF('Cash Flow'!D32=0,"",'Cash Flow'!D32))</f>
        <v>-4.1099999999999994</v>
      </c>
      <c r="E93" s="256">
        <f>IF(ISERROR('Cash Flow'!E32),"",IF('Cash Flow'!E32=0,"",'Cash Flow'!E32))</f>
        <v>-10.040000000000001</v>
      </c>
      <c r="F93" s="256">
        <f>IF(ISERROR('Cash Flow'!F32),"",IF('Cash Flow'!F32=0,"",'Cash Flow'!F32))</f>
        <v>-7.8600000000000012</v>
      </c>
      <c r="G93" s="256" t="str">
        <f>IF(ISERROR('Cash Flow'!G32),"",IF('Cash Flow'!G32=0,"",'Cash Flow'!G32))</f>
        <v/>
      </c>
      <c r="H93" s="256" t="str">
        <f>IF(ISERROR('Cash Flow'!H32),"",IF('Cash Flow'!H32=0,"",'Cash Flow'!H32))</f>
        <v/>
      </c>
      <c r="I93" s="256" t="str">
        <f>IF(ISERROR('Cash Flow'!I32),"",IF('Cash Flow'!I32=0,"",'Cash Flow'!I32))</f>
        <v/>
      </c>
      <c r="J93" s="256" t="str">
        <f>IF(ISERROR('Cash Flow'!J32),"",IF('Cash Flow'!J32=0,"",'Cash Flow'!J32))</f>
        <v/>
      </c>
      <c r="K93" s="256" t="str">
        <f>IF(ISERROR('Cash Flow'!K32),"",IF('Cash Flow'!K32=0,"",'Cash Flow'!K32))</f>
        <v/>
      </c>
      <c r="L93" s="256" t="str">
        <f>IF(ISERROR('Cash Flow'!L32),"",IF('Cash Flow'!L32=0,"",'Cash Flow'!L32))</f>
        <v/>
      </c>
      <c r="M93" s="256">
        <f>IF(ISERROR('Cash Flow'!M32),"",IF('Cash Flow'!M32=0,"",'Cash Flow'!M32))</f>
        <v>0.32</v>
      </c>
      <c r="N93" s="256" t="str">
        <f>IF(ISERROR('Cash Flow'!N32),"",IF('Cash Flow'!N32=0,"",'Cash Flow'!N32))</f>
        <v/>
      </c>
      <c r="O93" s="256" t="str">
        <f>IF(ISERROR('Cash Flow'!O32),"",IF('Cash Flow'!O32=0,"",'Cash Flow'!O32))</f>
        <v/>
      </c>
      <c r="P93" s="256">
        <f>IF(ISERROR('Cash Flow'!P32),"",IF('Cash Flow'!P32=0,"",'Cash Flow'!P32))</f>
        <v>21.71</v>
      </c>
      <c r="Q93" s="256" t="str">
        <f>IF(ISERROR('Cash Flow'!Q32),"",IF('Cash Flow'!Q32=0,"",'Cash Flow'!Q32))</f>
        <v/>
      </c>
      <c r="R93" s="256" t="str">
        <f>IF(ISERROR('Cash Flow'!R32),"",IF('Cash Flow'!R32=0,"",'Cash Flow'!R32))</f>
        <v/>
      </c>
      <c r="S93" s="256" t="str">
        <f>IF(ISERROR('Cash Flow'!S32),"",IF('Cash Flow'!S32=0,"",'Cash Flow'!S32))</f>
        <v/>
      </c>
      <c r="T93" s="256" t="str">
        <f>IF(ISERROR('Cash Flow'!T32),"",IF('Cash Flow'!T32=0,"",'Cash Flow'!T32))</f>
        <v/>
      </c>
      <c r="U93" s="256" t="str">
        <f>IF(ISERROR('Cash Flow'!U32),"",IF('Cash Flow'!U32=0,"",'Cash Flow'!U32))</f>
        <v/>
      </c>
      <c r="V93" s="612"/>
    </row>
    <row r="94" spans="1:22" ht="25.5" hidden="1" customHeight="1" x14ac:dyDescent="0.2">
      <c r="A94" s="287" t="s">
        <v>839</v>
      </c>
      <c r="B94" s="256" t="str">
        <f>IF(ISERROR('Cash Flow'!B43),"",IF('Cash Flow'!B43=0,"",'Cash Flow'!B43))</f>
        <v/>
      </c>
      <c r="C94" s="256">
        <f>IF(ISERROR('Cash Flow'!C43),"",IF('Cash Flow'!C43=0,"",'Cash Flow'!C43))</f>
        <v>7.9999999999999988E-2</v>
      </c>
      <c r="D94" s="256">
        <f>IF(ISERROR('Cash Flow'!D43),"",IF('Cash Flow'!D43=0,"",'Cash Flow'!D43))</f>
        <v>3.87</v>
      </c>
      <c r="E94" s="256">
        <f>IF(ISERROR('Cash Flow'!E43),"",IF('Cash Flow'!E43=0,"",'Cash Flow'!E43))</f>
        <v>9.5699999999999985</v>
      </c>
      <c r="F94" s="256">
        <f>IF(ISERROR('Cash Flow'!F43),"",IF('Cash Flow'!F43=0,"",'Cash Flow'!F43))</f>
        <v>10.040000000000001</v>
      </c>
      <c r="G94" s="256">
        <f>IF(ISERROR('Cash Flow'!G43),"",IF('Cash Flow'!G43=0,"",'Cash Flow'!G43))</f>
        <v>-3.2292749999999972</v>
      </c>
      <c r="H94" s="256">
        <f>IF(ISERROR('Cash Flow'!H43),"",IF('Cash Flow'!H43=0,"",'Cash Flow'!H43))</f>
        <v>-2.4251299999999913</v>
      </c>
      <c r="I94" s="256">
        <f>IF(ISERROR('Cash Flow'!I43),"",IF('Cash Flow'!I43=0,"",'Cash Flow'!I43))</f>
        <v>-2.6575325000000047</v>
      </c>
      <c r="J94" s="256">
        <f>IF(ISERROR('Cash Flow'!J43),"",IF('Cash Flow'!J43=0,"",'Cash Flow'!J43))</f>
        <v>-2.8413149999999971</v>
      </c>
      <c r="K94" s="256">
        <f>IF(ISERROR('Cash Flow'!K43),"",IF('Cash Flow'!K43=0,"",'Cash Flow'!K43))</f>
        <v>-2.9008500000000028</v>
      </c>
      <c r="L94" s="256">
        <f>IF(ISERROR('Cash Flow'!L43),"",IF('Cash Flow'!L43=0,"",'Cash Flow'!L43))</f>
        <v>-3.2881875000000118</v>
      </c>
      <c r="M94" s="256">
        <f>IF(ISERROR('Cash Flow'!M43),"",IF('Cash Flow'!M43=0,"",'Cash Flow'!M43))</f>
        <v>-12.12</v>
      </c>
      <c r="N94" s="256" t="str">
        <f>IF(ISERROR('Cash Flow'!N43),"",IF('Cash Flow'!N43=0,"",'Cash Flow'!N43))</f>
        <v/>
      </c>
      <c r="O94" s="256" t="str">
        <f>IF(ISERROR('Cash Flow'!O43),"",IF('Cash Flow'!O43=0,"",'Cash Flow'!O43))</f>
        <v/>
      </c>
      <c r="P94" s="256" t="str">
        <f>IF(ISERROR('Cash Flow'!P43),"",IF('Cash Flow'!P43=0,"",'Cash Flow'!P43))</f>
        <v/>
      </c>
      <c r="Q94" s="256" t="str">
        <f>IF(ISERROR('Cash Flow'!Q43),"",IF('Cash Flow'!Q43=0,"",'Cash Flow'!Q43))</f>
        <v/>
      </c>
      <c r="R94" s="256" t="str">
        <f>IF(ISERROR('Cash Flow'!R43),"",IF('Cash Flow'!R43=0,"",'Cash Flow'!R43))</f>
        <v/>
      </c>
      <c r="S94" s="256" t="str">
        <f>IF(ISERROR('Cash Flow'!S43),"",IF('Cash Flow'!S43=0,"",'Cash Flow'!S43))</f>
        <v/>
      </c>
      <c r="T94" s="256" t="str">
        <f>IF(ISERROR('Cash Flow'!T43),"",IF('Cash Flow'!T43=0,"",'Cash Flow'!T43))</f>
        <v/>
      </c>
      <c r="U94" s="256" t="str">
        <f>IF(ISERROR('Cash Flow'!U43),"",IF('Cash Flow'!U43=0,"",'Cash Flow'!U43))</f>
        <v/>
      </c>
      <c r="V94" s="612"/>
    </row>
    <row r="95" spans="1:22" s="304" customFormat="1" ht="18" hidden="1" customHeight="1" x14ac:dyDescent="0.25">
      <c r="A95" s="285" t="s">
        <v>485</v>
      </c>
      <c r="B95" s="281">
        <f>IF(ISERROR('Cash Flow'!B45),"",IF('Cash Flow'!B45=0,"",'Cash Flow'!B45))</f>
        <v>9.9999999999999978E-2</v>
      </c>
      <c r="C95" s="281">
        <f>IF(ISERROR('Cash Flow'!C45),"",IF('Cash Flow'!C45=0,"",'Cash Flow'!C45))</f>
        <v>6.9999999999999979E-2</v>
      </c>
      <c r="D95" s="281">
        <f>IF(ISERROR('Cash Flow'!D45),"",IF('Cash Flow'!D45=0,"",'Cash Flow'!D45))</f>
        <v>0.11000000000000076</v>
      </c>
      <c r="E95" s="281" t="str">
        <f>IF(ISERROR('Cash Flow'!E45),"",IF('Cash Flow'!E45=0,"",'Cash Flow'!E45))</f>
        <v/>
      </c>
      <c r="F95" s="281">
        <f>IF(ISERROR('Cash Flow'!F45),"",IF('Cash Flow'!F45=0,"",'Cash Flow'!F45))</f>
        <v>0.49700000000000166</v>
      </c>
      <c r="G95" s="281">
        <f>IF(ISERROR('Cash Flow'!G45),"",IF('Cash Flow'!G45=0,"",'Cash Flow'!G45))</f>
        <v>0.12581187500000457</v>
      </c>
      <c r="H95" s="281">
        <f>IF(ISERROR('Cash Flow'!H45),"",IF('Cash Flow'!H45=0,"",'Cash Flow'!H45))</f>
        <v>2.3469875000009743E-2</v>
      </c>
      <c r="I95" s="281">
        <f>IF(ISERROR('Cash Flow'!I45),"",IF('Cash Flow'!I45=0,"",'Cash Flow'!I45))</f>
        <v>2.5470624999952562E-3</v>
      </c>
      <c r="J95" s="281">
        <f>IF(ISERROR('Cash Flow'!J45),"",IF('Cash Flow'!J45=0,"",'Cash Flow'!J45))</f>
        <v>2.9581249999921511E-4</v>
      </c>
      <c r="K95" s="281">
        <f>IF(ISERROR('Cash Flow'!K45),"",IF('Cash Flow'!K45=0,"",'Cash Flow'!K45))</f>
        <v>5.1689874999997887E-2</v>
      </c>
      <c r="L95" s="281">
        <f>IF(ISERROR('Cash Flow'!L45),"",IF('Cash Flow'!L45=0,"",'Cash Flow'!L45))</f>
        <v>-5.2815625000106614E-3</v>
      </c>
      <c r="M95" s="281">
        <f>IF(ISERROR('Cash Flow'!M45),"",IF('Cash Flow'!M45=0,"",'Cash Flow'!M45))</f>
        <v>2.4068640625000004</v>
      </c>
      <c r="N95" s="281" t="str">
        <f>IF(ISERROR('Cash Flow'!N45),"",IF('Cash Flow'!N45=0,"",'Cash Flow'!N45))</f>
        <v/>
      </c>
      <c r="O95" s="281" t="str">
        <f>IF(ISERROR('Cash Flow'!O45),"",IF('Cash Flow'!O45=0,"",'Cash Flow'!O45))</f>
        <v/>
      </c>
      <c r="P95" s="281">
        <f>IF(ISERROR('Cash Flow'!P45),"",IF('Cash Flow'!P45=0,"",'Cash Flow'!P45))</f>
        <v>21.71</v>
      </c>
      <c r="Q95" s="281" t="str">
        <f>IF(ISERROR('Cash Flow'!Q45),"",IF('Cash Flow'!Q45=0,"",'Cash Flow'!Q45))</f>
        <v/>
      </c>
      <c r="R95" s="281" t="str">
        <f>IF(ISERROR('Cash Flow'!R45),"",IF('Cash Flow'!R45=0,"",'Cash Flow'!R45))</f>
        <v/>
      </c>
      <c r="S95" s="281" t="str">
        <f>IF(ISERROR('Cash Flow'!S45),"",IF('Cash Flow'!S45=0,"",'Cash Flow'!S45))</f>
        <v/>
      </c>
      <c r="T95" s="281" t="str">
        <f>IF(ISERROR('Cash Flow'!T45),"",IF('Cash Flow'!T45=0,"",'Cash Flow'!T45))</f>
        <v/>
      </c>
      <c r="U95" s="281" t="str">
        <f>IF(ISERROR('Cash Flow'!U45),"",IF('Cash Flow'!U45=0,"",'Cash Flow'!U45))</f>
        <v/>
      </c>
      <c r="V95" s="620"/>
    </row>
    <row r="96" spans="1:22" ht="13.5" hidden="1" customHeight="1" x14ac:dyDescent="0.25">
      <c r="A96" s="259" t="s">
        <v>459</v>
      </c>
      <c r="B96" s="255"/>
      <c r="C96" s="255"/>
      <c r="D96" s="255"/>
      <c r="E96" s="255"/>
      <c r="F96" s="255"/>
      <c r="G96" s="255"/>
      <c r="H96" s="255"/>
      <c r="I96" s="255"/>
      <c r="J96" s="255"/>
      <c r="K96" s="255"/>
      <c r="L96" s="255"/>
      <c r="M96" s="255"/>
      <c r="N96" s="255"/>
      <c r="O96" s="255"/>
      <c r="P96" s="255"/>
      <c r="Q96" s="255"/>
      <c r="R96" s="255"/>
      <c r="S96" s="255"/>
      <c r="T96" s="255"/>
      <c r="U96" s="255"/>
      <c r="V96" s="612"/>
    </row>
    <row r="97" spans="1:22" s="297" customFormat="1" ht="12.75" hidden="1" customHeight="1" x14ac:dyDescent="0.25">
      <c r="A97" s="296"/>
      <c r="B97" s="261">
        <f>B3</f>
        <v>2020</v>
      </c>
      <c r="C97" s="261">
        <f>C3</f>
        <v>2021</v>
      </c>
      <c r="D97" s="261">
        <f t="shared" ref="D97:U97" si="16">D3</f>
        <v>2022</v>
      </c>
      <c r="E97" s="261">
        <f t="shared" si="16"/>
        <v>2023</v>
      </c>
      <c r="F97" s="261">
        <f t="shared" si="16"/>
        <v>2024</v>
      </c>
      <c r="G97" s="261">
        <f t="shared" si="16"/>
        <v>2025</v>
      </c>
      <c r="H97" s="261">
        <f t="shared" si="16"/>
        <v>2026</v>
      </c>
      <c r="I97" s="261">
        <f t="shared" si="16"/>
        <v>2027</v>
      </c>
      <c r="J97" s="261">
        <f t="shared" si="16"/>
        <v>2028</v>
      </c>
      <c r="K97" s="261">
        <f t="shared" si="16"/>
        <v>2029</v>
      </c>
      <c r="L97" s="261">
        <f t="shared" si="16"/>
        <v>2030</v>
      </c>
      <c r="M97" s="261">
        <f t="shared" si="16"/>
        <v>2031</v>
      </c>
      <c r="N97" s="261">
        <f t="shared" si="16"/>
        <v>2032</v>
      </c>
      <c r="O97" s="261">
        <f t="shared" si="16"/>
        <v>2033</v>
      </c>
      <c r="P97" s="261">
        <f t="shared" si="16"/>
        <v>2034</v>
      </c>
      <c r="Q97" s="261">
        <f t="shared" si="16"/>
        <v>2035</v>
      </c>
      <c r="R97" s="261">
        <f t="shared" si="16"/>
        <v>2036</v>
      </c>
      <c r="S97" s="261">
        <f t="shared" si="16"/>
        <v>2037</v>
      </c>
      <c r="T97" s="261">
        <f t="shared" si="16"/>
        <v>2038</v>
      </c>
      <c r="U97" s="261">
        <f t="shared" si="16"/>
        <v>2039</v>
      </c>
      <c r="V97" s="613"/>
    </row>
    <row r="98" spans="1:22" s="297" customFormat="1" ht="12.75" hidden="1" customHeight="1" x14ac:dyDescent="0.25">
      <c r="A98" s="296"/>
      <c r="B98" s="261" t="str">
        <f>B91</f>
        <v>AUD.</v>
      </c>
      <c r="C98" s="261" t="str">
        <f>C91</f>
        <v>AUD.</v>
      </c>
      <c r="D98" s="261" t="str">
        <f t="shared" ref="D98:U98" si="17">D91</f>
        <v>AUD.</v>
      </c>
      <c r="E98" s="261" t="str">
        <f t="shared" si="17"/>
        <v>EST.</v>
      </c>
      <c r="F98" s="261" t="str">
        <f t="shared" si="17"/>
        <v>PROJ.</v>
      </c>
      <c r="G98" s="261" t="str">
        <f t="shared" si="17"/>
        <v>PROJ.</v>
      </c>
      <c r="H98" s="261" t="str">
        <f t="shared" si="17"/>
        <v>PROJ.</v>
      </c>
      <c r="I98" s="261" t="str">
        <f t="shared" si="17"/>
        <v>PROJ.</v>
      </c>
      <c r="J98" s="261" t="str">
        <f t="shared" si="17"/>
        <v>PROJ.</v>
      </c>
      <c r="K98" s="261" t="str">
        <f t="shared" si="17"/>
        <v>PROJ.</v>
      </c>
      <c r="L98" s="261" t="str">
        <f t="shared" si="17"/>
        <v>PROJ.</v>
      </c>
      <c r="M98" s="261" t="str">
        <f t="shared" si="17"/>
        <v>PROJ.</v>
      </c>
      <c r="N98" s="261" t="str">
        <f t="shared" si="17"/>
        <v>PROJ.</v>
      </c>
      <c r="O98" s="261" t="str">
        <f t="shared" si="17"/>
        <v>PROJ.</v>
      </c>
      <c r="P98" s="261" t="str">
        <f t="shared" si="17"/>
        <v>PROJ.</v>
      </c>
      <c r="Q98" s="261" t="str">
        <f t="shared" si="17"/>
        <v>PROJ.</v>
      </c>
      <c r="R98" s="261" t="str">
        <f t="shared" si="17"/>
        <v>PROJ.</v>
      </c>
      <c r="S98" s="261" t="str">
        <f t="shared" si="17"/>
        <v>PROJ.</v>
      </c>
      <c r="T98" s="261" t="str">
        <f t="shared" si="17"/>
        <v>PROJ.</v>
      </c>
      <c r="U98" s="261" t="str">
        <f t="shared" si="17"/>
        <v>PROJ.</v>
      </c>
      <c r="V98" s="613"/>
    </row>
    <row r="99" spans="1:22" ht="14.25" hidden="1" customHeight="1" x14ac:dyDescent="0.2">
      <c r="A99" s="287" t="s">
        <v>396</v>
      </c>
      <c r="B99" s="256">
        <f>B7</f>
        <v>0.8</v>
      </c>
      <c r="C99" s="256">
        <f>C7</f>
        <v>1.05</v>
      </c>
      <c r="D99" s="256">
        <f t="shared" ref="D99:U99" si="18">D7</f>
        <v>2.2000000000000002</v>
      </c>
      <c r="E99" s="256">
        <f t="shared" si="18"/>
        <v>4</v>
      </c>
      <c r="F99" s="256">
        <f t="shared" si="18"/>
        <v>20</v>
      </c>
      <c r="G99" s="256">
        <f t="shared" si="18"/>
        <v>34.28</v>
      </c>
      <c r="H99" s="256">
        <f t="shared" si="18"/>
        <v>40.42</v>
      </c>
      <c r="I99" s="256">
        <f t="shared" si="18"/>
        <v>44.09</v>
      </c>
      <c r="J99" s="256">
        <f t="shared" si="18"/>
        <v>47.96</v>
      </c>
      <c r="K99" s="256">
        <f t="shared" si="18"/>
        <v>52.03</v>
      </c>
      <c r="L99" s="256">
        <f t="shared" si="18"/>
        <v>56.2</v>
      </c>
      <c r="M99" s="256" t="str">
        <f t="shared" si="18"/>
        <v/>
      </c>
      <c r="N99" s="256" t="str">
        <f t="shared" si="18"/>
        <v/>
      </c>
      <c r="O99" s="256" t="str">
        <f t="shared" si="18"/>
        <v/>
      </c>
      <c r="P99" s="256" t="str">
        <f t="shared" si="18"/>
        <v/>
      </c>
      <c r="Q99" s="256" t="str">
        <f t="shared" si="18"/>
        <v/>
      </c>
      <c r="R99" s="256" t="str">
        <f t="shared" si="18"/>
        <v/>
      </c>
      <c r="S99" s="256" t="str">
        <f t="shared" si="18"/>
        <v/>
      </c>
      <c r="T99" s="256" t="str">
        <f t="shared" si="18"/>
        <v/>
      </c>
      <c r="U99" s="256" t="str">
        <f t="shared" si="18"/>
        <v/>
      </c>
      <c r="V99" s="612"/>
    </row>
    <row r="100" spans="1:22" ht="14.25" hidden="1" customHeight="1" x14ac:dyDescent="0.2">
      <c r="A100" s="287" t="s">
        <v>45</v>
      </c>
      <c r="B100" s="256">
        <f>B29</f>
        <v>0.21000000000000002</v>
      </c>
      <c r="C100" s="256">
        <f>C29</f>
        <v>0.37000000000000005</v>
      </c>
      <c r="D100" s="256">
        <f t="shared" ref="D100:U100" si="19">D29</f>
        <v>0.69</v>
      </c>
      <c r="E100" s="256">
        <f t="shared" si="19"/>
        <v>1.0699999999999998</v>
      </c>
      <c r="F100" s="256">
        <f t="shared" si="19"/>
        <v>6.3599999999999994</v>
      </c>
      <c r="G100" s="256">
        <f t="shared" si="19"/>
        <v>9.5449131250000008</v>
      </c>
      <c r="H100" s="256">
        <f t="shared" si="19"/>
        <v>12.09309575</v>
      </c>
      <c r="I100" s="256">
        <f t="shared" si="19"/>
        <v>13.575555187500001</v>
      </c>
      <c r="J100" s="256">
        <f t="shared" si="19"/>
        <v>14.913204124999998</v>
      </c>
      <c r="K100" s="256">
        <f t="shared" si="19"/>
        <v>16.003058750000001</v>
      </c>
      <c r="L100" s="256">
        <f t="shared" si="19"/>
        <v>16.699407812500002</v>
      </c>
      <c r="M100" s="256" t="str">
        <f t="shared" si="19"/>
        <v/>
      </c>
      <c r="N100" s="256" t="str">
        <f t="shared" si="19"/>
        <v/>
      </c>
      <c r="O100" s="256" t="str">
        <f t="shared" si="19"/>
        <v/>
      </c>
      <c r="P100" s="256" t="str">
        <f t="shared" si="19"/>
        <v/>
      </c>
      <c r="Q100" s="256" t="str">
        <f t="shared" si="19"/>
        <v/>
      </c>
      <c r="R100" s="256" t="str">
        <f t="shared" si="19"/>
        <v/>
      </c>
      <c r="S100" s="256" t="str">
        <f t="shared" si="19"/>
        <v/>
      </c>
      <c r="T100" s="256" t="str">
        <f t="shared" si="19"/>
        <v/>
      </c>
      <c r="U100" s="256" t="str">
        <f t="shared" si="19"/>
        <v/>
      </c>
      <c r="V100" s="612"/>
    </row>
    <row r="101" spans="1:22" ht="14.25" hidden="1" customHeight="1" x14ac:dyDescent="0.2">
      <c r="A101" s="287" t="s">
        <v>35</v>
      </c>
      <c r="B101" s="256">
        <f>B33</f>
        <v>6.9999999999999979E-2</v>
      </c>
      <c r="C101" s="256">
        <f>C33</f>
        <v>0.09</v>
      </c>
      <c r="D101" s="256">
        <f t="shared" ref="D101:U101" si="20">D33</f>
        <v>0.27000000000000018</v>
      </c>
      <c r="E101" s="256">
        <f t="shared" si="20"/>
        <v>0.21699999999999989</v>
      </c>
      <c r="F101" s="256">
        <f t="shared" si="20"/>
        <v>0.56000000000000028</v>
      </c>
      <c r="G101" s="256">
        <f t="shared" si="20"/>
        <v>1.1975075000000017</v>
      </c>
      <c r="H101" s="256">
        <f t="shared" si="20"/>
        <v>1.627409000000001</v>
      </c>
      <c r="I101" s="256">
        <f t="shared" si="20"/>
        <v>1.8217272499999999</v>
      </c>
      <c r="J101" s="256">
        <f t="shared" si="20"/>
        <v>2.0010794999999959</v>
      </c>
      <c r="K101" s="256">
        <f t="shared" si="20"/>
        <v>2.2184050000000006</v>
      </c>
      <c r="L101" s="256">
        <f t="shared" si="20"/>
        <v>2.5492687499999991</v>
      </c>
      <c r="M101" s="256" t="str">
        <f t="shared" si="20"/>
        <v/>
      </c>
      <c r="N101" s="256" t="str">
        <f t="shared" si="20"/>
        <v/>
      </c>
      <c r="O101" s="256" t="str">
        <f t="shared" si="20"/>
        <v/>
      </c>
      <c r="P101" s="256" t="str">
        <f t="shared" si="20"/>
        <v/>
      </c>
      <c r="Q101" s="256" t="str">
        <f t="shared" si="20"/>
        <v/>
      </c>
      <c r="R101" s="256" t="str">
        <f t="shared" si="20"/>
        <v/>
      </c>
      <c r="S101" s="256" t="str">
        <f t="shared" si="20"/>
        <v/>
      </c>
      <c r="T101" s="256" t="str">
        <f t="shared" si="20"/>
        <v/>
      </c>
      <c r="U101" s="256" t="str">
        <f t="shared" si="20"/>
        <v/>
      </c>
      <c r="V101" s="612"/>
    </row>
    <row r="102" spans="1:22" ht="14.25" hidden="1" customHeight="1" x14ac:dyDescent="0.2">
      <c r="A102" s="287" t="s">
        <v>47</v>
      </c>
      <c r="B102" s="256">
        <f>B41</f>
        <v>9.9999999999999978E-2</v>
      </c>
      <c r="C102" s="256">
        <f>C41</f>
        <v>0.11</v>
      </c>
      <c r="D102" s="256">
        <f t="shared" ref="D102:U102" si="21">D41</f>
        <v>0.2900000000000002</v>
      </c>
      <c r="E102" s="256">
        <f t="shared" si="21"/>
        <v>0.23699999999999988</v>
      </c>
      <c r="F102" s="256">
        <f t="shared" si="21"/>
        <v>2.1300000000000003</v>
      </c>
      <c r="G102" s="256">
        <f t="shared" si="21"/>
        <v>3.6775075000000017</v>
      </c>
      <c r="H102" s="256">
        <f t="shared" si="21"/>
        <v>3.7874090000000011</v>
      </c>
      <c r="I102" s="256">
        <f t="shared" si="21"/>
        <v>3.7017272499999998</v>
      </c>
      <c r="J102" s="256">
        <f t="shared" si="21"/>
        <v>3.6410794999999956</v>
      </c>
      <c r="K102" s="256">
        <f t="shared" si="21"/>
        <v>3.6484050000000003</v>
      </c>
      <c r="L102" s="256">
        <f t="shared" si="21"/>
        <v>3.7892687499999989</v>
      </c>
      <c r="M102" s="256" t="str">
        <f t="shared" si="21"/>
        <v/>
      </c>
      <c r="N102" s="256" t="str">
        <f t="shared" si="21"/>
        <v/>
      </c>
      <c r="O102" s="256" t="str">
        <f t="shared" si="21"/>
        <v/>
      </c>
      <c r="P102" s="256" t="str">
        <f t="shared" si="21"/>
        <v/>
      </c>
      <c r="Q102" s="256" t="str">
        <f t="shared" si="21"/>
        <v/>
      </c>
      <c r="R102" s="256" t="str">
        <f t="shared" si="21"/>
        <v/>
      </c>
      <c r="S102" s="256" t="str">
        <f t="shared" si="21"/>
        <v/>
      </c>
      <c r="T102" s="256" t="str">
        <f t="shared" si="21"/>
        <v/>
      </c>
      <c r="U102" s="256" t="str">
        <f t="shared" si="21"/>
        <v/>
      </c>
      <c r="V102" s="612"/>
    </row>
    <row r="103" spans="1:22" ht="14.25" hidden="1" customHeight="1" x14ac:dyDescent="0.2">
      <c r="A103" s="287" t="s">
        <v>49</v>
      </c>
      <c r="B103" s="256">
        <f>B51</f>
        <v>0.01</v>
      </c>
      <c r="C103" s="256">
        <f>C51</f>
        <v>0.01</v>
      </c>
      <c r="D103" s="256">
        <f t="shared" ref="D103:U103" si="22">D51</f>
        <v>0.01</v>
      </c>
      <c r="E103" s="256">
        <f t="shared" si="22"/>
        <v>8</v>
      </c>
      <c r="F103" s="256">
        <f t="shared" si="22"/>
        <v>10.119999999999999</v>
      </c>
      <c r="G103" s="256">
        <f t="shared" si="22"/>
        <v>10.119999999999999</v>
      </c>
      <c r="H103" s="256">
        <f t="shared" si="22"/>
        <v>10.119999999999999</v>
      </c>
      <c r="I103" s="256">
        <f t="shared" si="22"/>
        <v>10.119999999999999</v>
      </c>
      <c r="J103" s="256">
        <f t="shared" si="22"/>
        <v>10.119999999999999</v>
      </c>
      <c r="K103" s="256">
        <f t="shared" si="22"/>
        <v>10.119999999999999</v>
      </c>
      <c r="L103" s="256">
        <f t="shared" si="22"/>
        <v>10.119999999999999</v>
      </c>
      <c r="M103" s="256" t="str">
        <f t="shared" si="22"/>
        <v/>
      </c>
      <c r="N103" s="256" t="str">
        <f t="shared" si="22"/>
        <v/>
      </c>
      <c r="O103" s="256" t="str">
        <f t="shared" si="22"/>
        <v/>
      </c>
      <c r="P103" s="256" t="str">
        <f t="shared" si="22"/>
        <v/>
      </c>
      <c r="Q103" s="256" t="str">
        <f t="shared" si="22"/>
        <v/>
      </c>
      <c r="R103" s="256" t="str">
        <f t="shared" si="22"/>
        <v/>
      </c>
      <c r="S103" s="256" t="str">
        <f t="shared" si="22"/>
        <v/>
      </c>
      <c r="T103" s="256" t="str">
        <f t="shared" si="22"/>
        <v/>
      </c>
      <c r="U103" s="256" t="str">
        <f t="shared" si="22"/>
        <v/>
      </c>
      <c r="V103" s="612"/>
    </row>
    <row r="104" spans="1:22" ht="14.25" hidden="1" customHeight="1" x14ac:dyDescent="0.2">
      <c r="A104" s="287" t="s">
        <v>50</v>
      </c>
      <c r="B104" s="256">
        <f>B53</f>
        <v>7.9999999999999974E-2</v>
      </c>
      <c r="C104" s="256">
        <f>C53</f>
        <v>0.16999999999999998</v>
      </c>
      <c r="D104" s="256">
        <f t="shared" ref="D104:U104" si="23">D53</f>
        <v>0.44000000000000017</v>
      </c>
      <c r="E104" s="256">
        <f t="shared" si="23"/>
        <v>8.5670000000000002</v>
      </c>
      <c r="F104" s="256">
        <f t="shared" si="23"/>
        <v>11.247</v>
      </c>
      <c r="G104" s="256">
        <f t="shared" si="23"/>
        <v>12.464507500000002</v>
      </c>
      <c r="H104" s="256">
        <f t="shared" si="23"/>
        <v>14.111916500000003</v>
      </c>
      <c r="I104" s="256">
        <f t="shared" si="23"/>
        <v>15.953643750000003</v>
      </c>
      <c r="J104" s="256">
        <f t="shared" si="23"/>
        <v>17.974723249999997</v>
      </c>
      <c r="K104" s="256">
        <f t="shared" si="23"/>
        <v>20.193128250000001</v>
      </c>
      <c r="L104" s="256">
        <f t="shared" si="23"/>
        <v>22.742396999999997</v>
      </c>
      <c r="M104" s="256">
        <f t="shared" si="23"/>
        <v>12.622396999999999</v>
      </c>
      <c r="N104" s="256">
        <f t="shared" si="23"/>
        <v>12.622396999999999</v>
      </c>
      <c r="O104" s="256">
        <f t="shared" si="23"/>
        <v>12.622396999999999</v>
      </c>
      <c r="P104" s="256">
        <f t="shared" si="23"/>
        <v>12.622396999999999</v>
      </c>
      <c r="Q104" s="256">
        <f t="shared" si="23"/>
        <v>12.622396999999999</v>
      </c>
      <c r="R104" s="256">
        <f t="shared" si="23"/>
        <v>12.622396999999999</v>
      </c>
      <c r="S104" s="256">
        <f t="shared" si="23"/>
        <v>12.622396999999999</v>
      </c>
      <c r="T104" s="256">
        <f t="shared" si="23"/>
        <v>12.622396999999999</v>
      </c>
      <c r="U104" s="256">
        <f t="shared" si="23"/>
        <v>12.622396999999999</v>
      </c>
      <c r="V104" s="612"/>
    </row>
    <row r="105" spans="1:22" ht="14.25" hidden="1" customHeight="1" x14ac:dyDescent="0.2">
      <c r="A105" s="287" t="s">
        <v>20</v>
      </c>
      <c r="B105" s="256">
        <f>B57</f>
        <v>2.5000000000000009</v>
      </c>
      <c r="C105" s="256">
        <f>C57</f>
        <v>1.5882352941176474</v>
      </c>
      <c r="D105" s="256">
        <f t="shared" ref="D105:U105" si="24">D57</f>
        <v>10.02272727272727</v>
      </c>
      <c r="E105" s="256">
        <f t="shared" si="24"/>
        <v>0.77074821991362197</v>
      </c>
      <c r="F105" s="256">
        <f t="shared" si="24"/>
        <v>1.3763670312083223</v>
      </c>
      <c r="G105" s="256">
        <f t="shared" si="24"/>
        <v>1.2012682811575188</v>
      </c>
      <c r="H105" s="256">
        <f t="shared" si="24"/>
        <v>0.97133943500870412</v>
      </c>
      <c r="I105" s="256">
        <f t="shared" si="24"/>
        <v>0.71900441239325075</v>
      </c>
      <c r="J105" s="256">
        <f t="shared" si="24"/>
        <v>0.50891495645141649</v>
      </c>
      <c r="K105" s="256">
        <f t="shared" si="24"/>
        <v>0.32638553662432224</v>
      </c>
      <c r="L105" s="256">
        <f t="shared" si="24"/>
        <v>0.1535697292594092</v>
      </c>
      <c r="M105" s="256" t="str">
        <f t="shared" si="24"/>
        <v/>
      </c>
      <c r="N105" s="256" t="str">
        <f t="shared" si="24"/>
        <v/>
      </c>
      <c r="O105" s="256" t="str">
        <f t="shared" si="24"/>
        <v/>
      </c>
      <c r="P105" s="256" t="str">
        <f t="shared" si="24"/>
        <v/>
      </c>
      <c r="Q105" s="256" t="str">
        <f t="shared" si="24"/>
        <v/>
      </c>
      <c r="R105" s="256" t="str">
        <f t="shared" si="24"/>
        <v/>
      </c>
      <c r="S105" s="256" t="str">
        <f t="shared" si="24"/>
        <v/>
      </c>
      <c r="T105" s="256" t="str">
        <f t="shared" si="24"/>
        <v/>
      </c>
      <c r="U105" s="256" t="str">
        <f t="shared" si="24"/>
        <v/>
      </c>
      <c r="V105" s="612"/>
    </row>
    <row r="106" spans="1:22" ht="14.25" hidden="1" customHeight="1" x14ac:dyDescent="0.2">
      <c r="A106" s="287" t="s">
        <v>51</v>
      </c>
      <c r="B106" s="256">
        <f>B59</f>
        <v>2.5000000000000009</v>
      </c>
      <c r="C106" s="256">
        <f>C59</f>
        <v>1.5882352941176474</v>
      </c>
      <c r="D106" s="256">
        <f t="shared" ref="D106:U106" si="25">D59</f>
        <v>10.02272727272727</v>
      </c>
      <c r="E106" s="256">
        <f t="shared" si="25"/>
        <v>0.77074821991362197</v>
      </c>
      <c r="F106" s="256">
        <f t="shared" si="25"/>
        <v>1.3763670312083223</v>
      </c>
      <c r="G106" s="256">
        <f t="shared" si="25"/>
        <v>1.2012682811575188</v>
      </c>
      <c r="H106" s="256">
        <f t="shared" si="25"/>
        <v>0.97133943500870412</v>
      </c>
      <c r="I106" s="256">
        <f t="shared" si="25"/>
        <v>0.71900441239325075</v>
      </c>
      <c r="J106" s="256">
        <f t="shared" si="25"/>
        <v>0.50891495645141649</v>
      </c>
      <c r="K106" s="256">
        <f t="shared" si="25"/>
        <v>0.32638553662432224</v>
      </c>
      <c r="L106" s="256">
        <f t="shared" si="25"/>
        <v>0.1535697292594092</v>
      </c>
      <c r="M106" s="256" t="str">
        <f t="shared" si="25"/>
        <v/>
      </c>
      <c r="N106" s="256" t="str">
        <f t="shared" si="25"/>
        <v/>
      </c>
      <c r="O106" s="256" t="str">
        <f t="shared" si="25"/>
        <v/>
      </c>
      <c r="P106" s="256" t="str">
        <f t="shared" si="25"/>
        <v/>
      </c>
      <c r="Q106" s="256" t="str">
        <f t="shared" si="25"/>
        <v/>
      </c>
      <c r="R106" s="256" t="str">
        <f t="shared" si="25"/>
        <v/>
      </c>
      <c r="S106" s="256" t="str">
        <f t="shared" si="25"/>
        <v/>
      </c>
      <c r="T106" s="256" t="str">
        <f t="shared" si="25"/>
        <v/>
      </c>
      <c r="U106" s="256" t="str">
        <f t="shared" si="25"/>
        <v/>
      </c>
      <c r="V106" s="612"/>
    </row>
    <row r="107" spans="1:22" ht="13.5" hidden="1" customHeight="1" x14ac:dyDescent="0.25">
      <c r="A107" s="259" t="s">
        <v>470</v>
      </c>
      <c r="B107" s="255"/>
      <c r="C107" s="255"/>
      <c r="D107" s="255"/>
      <c r="E107" s="255"/>
      <c r="F107" s="255"/>
      <c r="G107" s="255"/>
      <c r="H107" s="255"/>
      <c r="I107" s="255"/>
      <c r="J107" s="255"/>
      <c r="K107" s="255"/>
      <c r="L107" s="255"/>
      <c r="M107" s="255"/>
      <c r="N107" s="255"/>
      <c r="O107" s="255"/>
      <c r="P107" s="255"/>
      <c r="Q107" s="255"/>
      <c r="R107" s="255"/>
      <c r="S107" s="255"/>
      <c r="T107" s="255"/>
      <c r="U107" s="255"/>
      <c r="V107" s="612"/>
    </row>
    <row r="108" spans="1:22" s="303" customFormat="1" ht="15" hidden="1" customHeight="1" x14ac:dyDescent="0.2">
      <c r="A108" s="305" t="s">
        <v>652</v>
      </c>
      <c r="B108" s="271">
        <f>IF(ISERROR(DSCR!B31+100%),"",IF((DSCR!B31+100%)=0,"",DSCR!B31+100%))</f>
        <v>2</v>
      </c>
      <c r="C108" s="271">
        <f>IF(ISERROR(DSCR!C31+100%),"",IF((DSCR!C31+100%)=0,"",DSCR!C31+100%))</f>
        <v>2</v>
      </c>
      <c r="D108" s="271">
        <f>IF(ISERROR(DSCR!D31+100%),"",IF((DSCR!D31+100%)=0,"",DSCR!D31+100%))</f>
        <v>1.2781954887218046</v>
      </c>
      <c r="E108" s="271">
        <f>IF(ISERROR(DSCR!E31+100%),"",IF((DSCR!E31+100%)=0,"",DSCR!E31+100%))</f>
        <v>1.5092667203867849</v>
      </c>
      <c r="F108" s="271">
        <f>IF(ISERROR(DSCR!F31+100%),"",IF((DSCR!F31+100%)=0,"",DSCR!F31+100%))</f>
        <v>1.3556109725685785</v>
      </c>
      <c r="G108" s="271">
        <f>IF(ISERROR(DSCR!G31+100%),"",IF((DSCR!G31+100%)=0,"",DSCR!G31+100%))</f>
        <v>1.3830392714854864</v>
      </c>
      <c r="H108" s="271">
        <f>IF(ISERROR(DSCR!H31+100%),"",IF((DSCR!H31+100%)=0,"",DSCR!H31+100%))</f>
        <v>1.391304347826086</v>
      </c>
      <c r="I108" s="271">
        <f>IF(ISERROR(DSCR!I31+100%),"",IF((DSCR!I31+100%)=0,"",DSCR!I31+100%))</f>
        <v>1.4412416851441234</v>
      </c>
      <c r="J108" s="271">
        <f>IF(ISERROR(DSCR!J31+100%),"",IF((DSCR!J31+100%)=0,"",DSCR!J31+100%))</f>
        <v>1.5458368376787206</v>
      </c>
      <c r="K108" s="271">
        <f>IF(ISERROR(DSCR!K31+100%),"",IF((DSCR!K31+100%)=0,"",DSCR!K31+100%))</f>
        <v>1.7131931166347982</v>
      </c>
      <c r="L108" s="271">
        <f>IF(ISERROR(DSCR!L31+100%),"",IF((DSCR!L31+100%)=0,"",DSCR!L31+100%))</f>
        <v>2</v>
      </c>
      <c r="M108" s="271">
        <f>IF(ISERROR(DSCR!M31+100%),"",IF((DSCR!M31+100%)=0,"",DSCR!M31+100%))</f>
        <v>2</v>
      </c>
      <c r="N108" s="271">
        <f>IF(ISERROR(DSCR!N31+100%),"",IF((DSCR!N31+100%)=0,"",DSCR!N31+100%))</f>
        <v>2</v>
      </c>
      <c r="O108" s="271">
        <f>IF(ISERROR(DSCR!O31+100%),"",IF((DSCR!O31+100%)=0,"",DSCR!O31+100%))</f>
        <v>2</v>
      </c>
      <c r="P108" s="271">
        <f>IF(ISERROR(DSCR!P31+100%),"",IF((DSCR!P31+100%)=0,"",DSCR!P31+100%))</f>
        <v>2</v>
      </c>
      <c r="Q108" s="271">
        <f>IF(ISERROR(DSCR!Q31+100%),"",IF((DSCR!Q31+100%)=0,"",DSCR!Q31+100%))</f>
        <v>2</v>
      </c>
      <c r="R108" s="271">
        <f>IF(ISERROR(DSCR!R31+100%),"",IF((DSCR!R31+100%)=0,"",DSCR!R31+100%))</f>
        <v>2</v>
      </c>
      <c r="S108" s="271">
        <f>IF(ISERROR(DSCR!S31+100%),"",IF((DSCR!S31+100%)=0,"",DSCR!S31+100%))</f>
        <v>2</v>
      </c>
      <c r="T108" s="271">
        <f>IF(ISERROR(DSCR!T31+100%),"",IF((DSCR!T31+100%)=0,"",DSCR!T31+100%))</f>
        <v>2</v>
      </c>
      <c r="U108" s="271">
        <f>IF(ISERROR(DSCR!U31+100%),"",IF((DSCR!U31+100%)=0,"",DSCR!U31+100%))</f>
        <v>2</v>
      </c>
      <c r="V108" s="618"/>
    </row>
    <row r="109" spans="1:22" ht="15" hidden="1" customHeight="1" x14ac:dyDescent="0.25">
      <c r="A109" s="306" t="s">
        <v>460</v>
      </c>
      <c r="B109" s="255"/>
      <c r="C109" s="255"/>
      <c r="D109" s="255"/>
      <c r="E109" s="255"/>
      <c r="F109" s="255"/>
      <c r="G109" s="255"/>
      <c r="H109" s="255"/>
      <c r="I109" s="255"/>
      <c r="J109" s="255"/>
      <c r="K109" s="255"/>
      <c r="L109" s="255"/>
      <c r="M109" s="255"/>
      <c r="N109" s="255"/>
      <c r="O109" s="255"/>
      <c r="P109" s="255"/>
      <c r="Q109" s="255"/>
      <c r="R109" s="255"/>
      <c r="S109" s="255"/>
      <c r="T109" s="255"/>
      <c r="U109" s="255"/>
      <c r="V109" s="612"/>
    </row>
    <row r="110" spans="1:22" ht="15" hidden="1" customHeight="1" x14ac:dyDescent="0.25">
      <c r="A110" s="307" t="s">
        <v>461</v>
      </c>
      <c r="B110" s="255"/>
      <c r="C110" s="255"/>
      <c r="D110" s="255"/>
      <c r="E110" s="255"/>
      <c r="F110" s="255"/>
      <c r="G110" s="255"/>
      <c r="H110" s="255"/>
      <c r="I110" s="255"/>
      <c r="J110" s="255"/>
      <c r="K110" s="255"/>
      <c r="L110" s="255"/>
      <c r="M110" s="255"/>
      <c r="N110" s="255"/>
      <c r="O110" s="255"/>
      <c r="P110" s="255"/>
      <c r="Q110" s="255"/>
      <c r="R110" s="255"/>
      <c r="S110" s="255"/>
      <c r="T110" s="255"/>
      <c r="U110" s="255"/>
      <c r="V110" s="612"/>
    </row>
    <row r="111" spans="1:22" s="297" customFormat="1" ht="12.75" hidden="1" customHeight="1" x14ac:dyDescent="0.25">
      <c r="A111" s="296"/>
      <c r="B111" s="261">
        <f>B3</f>
        <v>2020</v>
      </c>
      <c r="C111" s="261">
        <f>C3</f>
        <v>2021</v>
      </c>
      <c r="D111" s="261">
        <f t="shared" ref="D111:U111" si="26">D3</f>
        <v>2022</v>
      </c>
      <c r="E111" s="261">
        <f t="shared" si="26"/>
        <v>2023</v>
      </c>
      <c r="F111" s="261">
        <f t="shared" si="26"/>
        <v>2024</v>
      </c>
      <c r="G111" s="261">
        <f t="shared" si="26"/>
        <v>2025</v>
      </c>
      <c r="H111" s="261">
        <f t="shared" si="26"/>
        <v>2026</v>
      </c>
      <c r="I111" s="261">
        <f t="shared" si="26"/>
        <v>2027</v>
      </c>
      <c r="J111" s="261">
        <f t="shared" si="26"/>
        <v>2028</v>
      </c>
      <c r="K111" s="261">
        <f t="shared" si="26"/>
        <v>2029</v>
      </c>
      <c r="L111" s="261">
        <f t="shared" si="26"/>
        <v>2030</v>
      </c>
      <c r="M111" s="261">
        <f t="shared" si="26"/>
        <v>2031</v>
      </c>
      <c r="N111" s="261">
        <f t="shared" si="26"/>
        <v>2032</v>
      </c>
      <c r="O111" s="261">
        <f t="shared" si="26"/>
        <v>2033</v>
      </c>
      <c r="P111" s="261">
        <f t="shared" si="26"/>
        <v>2034</v>
      </c>
      <c r="Q111" s="261">
        <f t="shared" si="26"/>
        <v>2035</v>
      </c>
      <c r="R111" s="261">
        <f t="shared" si="26"/>
        <v>2036</v>
      </c>
      <c r="S111" s="261">
        <f t="shared" si="26"/>
        <v>2037</v>
      </c>
      <c r="T111" s="261">
        <f t="shared" si="26"/>
        <v>2038</v>
      </c>
      <c r="U111" s="261">
        <f t="shared" si="26"/>
        <v>2039</v>
      </c>
      <c r="V111" s="613"/>
    </row>
    <row r="112" spans="1:22" s="297" customFormat="1" ht="12.75" hidden="1" customHeight="1" x14ac:dyDescent="0.25">
      <c r="A112" s="298"/>
      <c r="B112" s="299" t="str">
        <f>B98</f>
        <v>AUD.</v>
      </c>
      <c r="C112" s="261" t="str">
        <f>C98</f>
        <v>AUD.</v>
      </c>
      <c r="D112" s="261" t="str">
        <f t="shared" ref="D112:U112" si="27">D98</f>
        <v>AUD.</v>
      </c>
      <c r="E112" s="261" t="str">
        <f t="shared" si="27"/>
        <v>EST.</v>
      </c>
      <c r="F112" s="261" t="str">
        <f t="shared" si="27"/>
        <v>PROJ.</v>
      </c>
      <c r="G112" s="261" t="str">
        <f t="shared" si="27"/>
        <v>PROJ.</v>
      </c>
      <c r="H112" s="261" t="str">
        <f t="shared" si="27"/>
        <v>PROJ.</v>
      </c>
      <c r="I112" s="261" t="str">
        <f t="shared" si="27"/>
        <v>PROJ.</v>
      </c>
      <c r="J112" s="261" t="str">
        <f t="shared" si="27"/>
        <v>PROJ.</v>
      </c>
      <c r="K112" s="261" t="str">
        <f t="shared" si="27"/>
        <v>PROJ.</v>
      </c>
      <c r="L112" s="261" t="str">
        <f t="shared" si="27"/>
        <v>PROJ.</v>
      </c>
      <c r="M112" s="261" t="str">
        <f t="shared" si="27"/>
        <v>PROJ.</v>
      </c>
      <c r="N112" s="261" t="str">
        <f t="shared" si="27"/>
        <v>PROJ.</v>
      </c>
      <c r="O112" s="261" t="str">
        <f t="shared" si="27"/>
        <v>PROJ.</v>
      </c>
      <c r="P112" s="261" t="str">
        <f t="shared" si="27"/>
        <v>PROJ.</v>
      </c>
      <c r="Q112" s="261" t="str">
        <f t="shared" si="27"/>
        <v>PROJ.</v>
      </c>
      <c r="R112" s="261" t="str">
        <f t="shared" si="27"/>
        <v>PROJ.</v>
      </c>
      <c r="S112" s="261" t="str">
        <f t="shared" si="27"/>
        <v>PROJ.</v>
      </c>
      <c r="T112" s="261" t="str">
        <f t="shared" si="27"/>
        <v>PROJ.</v>
      </c>
      <c r="U112" s="261" t="str">
        <f t="shared" si="27"/>
        <v>PROJ.</v>
      </c>
      <c r="V112" s="613"/>
    </row>
    <row r="113" spans="1:22" s="75" customFormat="1" ht="12" hidden="1" customHeight="1" x14ac:dyDescent="0.2">
      <c r="A113" s="308" t="s">
        <v>396</v>
      </c>
      <c r="B113" s="290">
        <f>B7</f>
        <v>0.8</v>
      </c>
      <c r="C113" s="290">
        <f>C7</f>
        <v>1.05</v>
      </c>
      <c r="D113" s="290">
        <f t="shared" ref="D113:U113" si="28">D7</f>
        <v>2.2000000000000002</v>
      </c>
      <c r="E113" s="290">
        <f t="shared" si="28"/>
        <v>4</v>
      </c>
      <c r="F113" s="290">
        <f t="shared" si="28"/>
        <v>20</v>
      </c>
      <c r="G113" s="290">
        <f t="shared" si="28"/>
        <v>34.28</v>
      </c>
      <c r="H113" s="290">
        <f t="shared" si="28"/>
        <v>40.42</v>
      </c>
      <c r="I113" s="290">
        <f t="shared" si="28"/>
        <v>44.09</v>
      </c>
      <c r="J113" s="290">
        <f t="shared" si="28"/>
        <v>47.96</v>
      </c>
      <c r="K113" s="290">
        <f t="shared" si="28"/>
        <v>52.03</v>
      </c>
      <c r="L113" s="290">
        <f t="shared" si="28"/>
        <v>56.2</v>
      </c>
      <c r="M113" s="290" t="str">
        <f t="shared" si="28"/>
        <v/>
      </c>
      <c r="N113" s="290" t="str">
        <f t="shared" si="28"/>
        <v/>
      </c>
      <c r="O113" s="290" t="str">
        <f t="shared" si="28"/>
        <v/>
      </c>
      <c r="P113" s="290" t="str">
        <f t="shared" si="28"/>
        <v/>
      </c>
      <c r="Q113" s="290" t="str">
        <f t="shared" si="28"/>
        <v/>
      </c>
      <c r="R113" s="290" t="str">
        <f t="shared" si="28"/>
        <v/>
      </c>
      <c r="S113" s="290" t="str">
        <f t="shared" si="28"/>
        <v/>
      </c>
      <c r="T113" s="290" t="str">
        <f t="shared" si="28"/>
        <v/>
      </c>
      <c r="U113" s="290" t="str">
        <f t="shared" si="28"/>
        <v/>
      </c>
      <c r="V113" s="621"/>
    </row>
    <row r="114" spans="1:22" s="75" customFormat="1" ht="12" hidden="1" customHeight="1" x14ac:dyDescent="0.2">
      <c r="A114" s="309"/>
      <c r="B114" s="291" t="str">
        <f>IF(INPUT!C67="","",CONCATENATE("(",INPUT!C67,")"))</f>
        <v/>
      </c>
      <c r="C114" s="291" t="str">
        <f>IF(INPUT!D67="","",CONCATENATE("(",INPUT!D67,")"))</f>
        <v/>
      </c>
      <c r="D114" s="291" t="str">
        <f>IF(INPUT!E67="","",CONCATENATE("(",INPUT!E67,")"))</f>
        <v/>
      </c>
      <c r="E114" s="291" t="str">
        <f>IF(INPUT!F67="","",CONCATENATE("(",INPUT!F67,")"))</f>
        <v/>
      </c>
      <c r="F114" s="291" t="str">
        <f>IF(INPUT!G67="","",CONCATENATE("(",INPUT!G67,")"))</f>
        <v/>
      </c>
      <c r="G114" s="291" t="str">
        <f>IF(INPUT!H67="","",CONCATENATE("(",INPUT!H67,")"))</f>
        <v/>
      </c>
      <c r="H114" s="291" t="str">
        <f>IF(INPUT!I67="","",CONCATENATE("(",INPUT!I67,")"))</f>
        <v/>
      </c>
      <c r="I114" s="291" t="str">
        <f>IF(INPUT!J67="","",CONCATENATE("(",INPUT!J67,")"))</f>
        <v/>
      </c>
      <c r="J114" s="291" t="str">
        <f>IF(INPUT!K67="","",CONCATENATE("(",INPUT!K67,")"))</f>
        <v/>
      </c>
      <c r="K114" s="291" t="str">
        <f>IF(INPUT!L67="","",CONCATENATE("(",INPUT!L67,")"))</f>
        <v/>
      </c>
      <c r="L114" s="291" t="str">
        <f>IF(INPUT!M67="","",CONCATENATE("(",INPUT!M67,")"))</f>
        <v/>
      </c>
      <c r="M114" s="291" t="str">
        <f>IF(INPUT!N67="","",CONCATENATE("(",INPUT!N67,")"))</f>
        <v/>
      </c>
      <c r="N114" s="291" t="str">
        <f>IF(INPUT!O67="","",CONCATENATE("(",INPUT!O67,")"))</f>
        <v/>
      </c>
      <c r="O114" s="291" t="str">
        <f>IF(INPUT!P67="","",CONCATENATE("(",INPUT!P67,")"))</f>
        <v/>
      </c>
      <c r="P114" s="291" t="str">
        <f>IF(INPUT!Q67="","",CONCATENATE("(",INPUT!Q67,")"))</f>
        <v/>
      </c>
      <c r="Q114" s="291" t="str">
        <f>IF(INPUT!R67="","",CONCATENATE("(",INPUT!R67,")"))</f>
        <v/>
      </c>
      <c r="R114" s="291" t="str">
        <f>IF(INPUT!S67="","",CONCATENATE("(",INPUT!S67,")"))</f>
        <v/>
      </c>
      <c r="S114" s="291" t="str">
        <f>IF(INPUT!T67="","",CONCATENATE("(",INPUT!T67,")"))</f>
        <v/>
      </c>
      <c r="T114" s="291" t="str">
        <f>IF(INPUT!U67="","",CONCATENATE("(",INPUT!U67,")"))</f>
        <v/>
      </c>
      <c r="U114" s="291" t="str">
        <f>IF(INPUT!V67="","",CONCATENATE("(",INPUT!V67,")"))</f>
        <v/>
      </c>
      <c r="V114" s="621"/>
    </row>
    <row r="115" spans="1:22" s="312" customFormat="1" ht="12" hidden="1" customHeight="1" x14ac:dyDescent="0.2">
      <c r="A115" s="310" t="s">
        <v>397</v>
      </c>
      <c r="B115" s="311">
        <f>B221</f>
        <v>5</v>
      </c>
      <c r="C115" s="311">
        <f>C221</f>
        <v>35</v>
      </c>
      <c r="D115" s="311">
        <f t="shared" ref="D115:U115" si="29">D221</f>
        <v>48</v>
      </c>
      <c r="E115" s="311">
        <f t="shared" si="29"/>
        <v>55</v>
      </c>
      <c r="F115" s="311">
        <f t="shared" si="29"/>
        <v>82</v>
      </c>
      <c r="G115" s="311">
        <f t="shared" si="29"/>
        <v>78</v>
      </c>
      <c r="H115" s="311">
        <f t="shared" si="29"/>
        <v>86</v>
      </c>
      <c r="I115" s="311">
        <f t="shared" si="29"/>
        <v>87</v>
      </c>
      <c r="J115" s="311">
        <f t="shared" si="29"/>
        <v>87</v>
      </c>
      <c r="K115" s="311">
        <f t="shared" si="29"/>
        <v>85</v>
      </c>
      <c r="L115" s="311">
        <f t="shared" si="29"/>
        <v>82</v>
      </c>
      <c r="M115" s="311" t="str">
        <f t="shared" si="29"/>
        <v/>
      </c>
      <c r="N115" s="311" t="str">
        <f t="shared" si="29"/>
        <v/>
      </c>
      <c r="O115" s="311" t="str">
        <f t="shared" si="29"/>
        <v/>
      </c>
      <c r="P115" s="311" t="str">
        <f t="shared" si="29"/>
        <v/>
      </c>
      <c r="Q115" s="311" t="str">
        <f t="shared" si="29"/>
        <v/>
      </c>
      <c r="R115" s="311" t="str">
        <f t="shared" si="29"/>
        <v/>
      </c>
      <c r="S115" s="311" t="str">
        <f t="shared" si="29"/>
        <v/>
      </c>
      <c r="T115" s="311" t="str">
        <f t="shared" si="29"/>
        <v/>
      </c>
      <c r="U115" s="311" t="str">
        <f t="shared" si="29"/>
        <v/>
      </c>
      <c r="V115" s="622"/>
    </row>
    <row r="116" spans="1:22" s="312" customFormat="1" ht="12" hidden="1" customHeight="1" x14ac:dyDescent="0.2">
      <c r="A116" s="313"/>
      <c r="B116" s="291" t="str">
        <f>IF(INPUT!C68="","",CONCATENATE("(",INPUT!C68,")"))</f>
        <v/>
      </c>
      <c r="C116" s="291" t="str">
        <f>IF(INPUT!D68="","",CONCATENATE("(",INPUT!D68,")"))</f>
        <v/>
      </c>
      <c r="D116" s="291" t="str">
        <f>IF(INPUT!E68="","",CONCATENATE("(",INPUT!E68,")"))</f>
        <v/>
      </c>
      <c r="E116" s="291" t="str">
        <f>IF(INPUT!F68="","",CONCATENATE("(",INPUT!F68,")"))</f>
        <v/>
      </c>
      <c r="F116" s="291" t="str">
        <f>IF(INPUT!G68="","",CONCATENATE("(",INPUT!G68,")"))</f>
        <v/>
      </c>
      <c r="G116" s="291" t="str">
        <f>IF(INPUT!H68="","",CONCATENATE("(",INPUT!H68,")"))</f>
        <v/>
      </c>
      <c r="H116" s="291" t="str">
        <f>IF(INPUT!I68="","",CONCATENATE("(",INPUT!I68,")"))</f>
        <v/>
      </c>
      <c r="I116" s="291" t="str">
        <f>IF(INPUT!J68="","",CONCATENATE("(",INPUT!J68,")"))</f>
        <v/>
      </c>
      <c r="J116" s="291" t="str">
        <f>IF(INPUT!K68="","",CONCATENATE("(",INPUT!K68,")"))</f>
        <v/>
      </c>
      <c r="K116" s="291" t="str">
        <f>IF(INPUT!L68="","",CONCATENATE("(",INPUT!L68,")"))</f>
        <v/>
      </c>
      <c r="L116" s="291" t="str">
        <f>IF(INPUT!M68="","",CONCATENATE("(",INPUT!M68,")"))</f>
        <v/>
      </c>
      <c r="M116" s="291" t="str">
        <f>IF(INPUT!N68="","",CONCATENATE("(",INPUT!N68,")"))</f>
        <v/>
      </c>
      <c r="N116" s="291" t="str">
        <f>IF(INPUT!O68="","",CONCATENATE("(",INPUT!O68,")"))</f>
        <v/>
      </c>
      <c r="O116" s="291" t="str">
        <f>IF(INPUT!P68="","",CONCATENATE("(",INPUT!P68,")"))</f>
        <v/>
      </c>
      <c r="P116" s="291" t="str">
        <f>IF(INPUT!Q68="","",CONCATENATE("(",INPUT!Q68,")"))</f>
        <v/>
      </c>
      <c r="Q116" s="291" t="str">
        <f>IF(INPUT!R68="","",CONCATENATE("(",INPUT!R68,")"))</f>
        <v/>
      </c>
      <c r="R116" s="291" t="str">
        <f>IF(INPUT!S68="","",CONCATENATE("(",INPUT!S68,")"))</f>
        <v/>
      </c>
      <c r="S116" s="291" t="str">
        <f>IF(INPUT!T68="","",CONCATENATE("(",INPUT!T68,")"))</f>
        <v/>
      </c>
      <c r="T116" s="291" t="str">
        <f>IF(INPUT!U68="","",CONCATENATE("(",INPUT!U68,")"))</f>
        <v/>
      </c>
      <c r="U116" s="291" t="str">
        <f>IF(INPUT!V68="","",CONCATENATE("(",INPUT!V68,")"))</f>
        <v/>
      </c>
      <c r="V116" s="622"/>
    </row>
    <row r="117" spans="1:22" s="75" customFormat="1" ht="12" hidden="1" customHeight="1" x14ac:dyDescent="0.2">
      <c r="A117" s="308" t="s">
        <v>398</v>
      </c>
      <c r="B117" s="290">
        <f>B181</f>
        <v>2.8571428571428572</v>
      </c>
      <c r="C117" s="290">
        <f>C181</f>
        <v>2.3863636363636362</v>
      </c>
      <c r="D117" s="290">
        <f t="shared" ref="D117:U117" si="30">D181</f>
        <v>0.45360824742268047</v>
      </c>
      <c r="E117" s="290">
        <f t="shared" si="30"/>
        <v>0.26367831245880025</v>
      </c>
      <c r="F117" s="290">
        <f t="shared" si="30"/>
        <v>0.7482229704451927</v>
      </c>
      <c r="G117" s="290">
        <f t="shared" si="30"/>
        <v>1.2495027720267293</v>
      </c>
      <c r="H117" s="290">
        <f t="shared" si="30"/>
        <v>1.4527499155085932</v>
      </c>
      <c r="I117" s="290">
        <f t="shared" si="30"/>
        <v>1.6076247025290962</v>
      </c>
      <c r="J117" s="290">
        <f t="shared" si="30"/>
        <v>1.7682276687876382</v>
      </c>
      <c r="K117" s="290">
        <f t="shared" si="30"/>
        <v>1.9426459272505607</v>
      </c>
      <c r="L117" s="290">
        <f t="shared" si="30"/>
        <v>2.1418166294601848</v>
      </c>
      <c r="M117" s="290" t="str">
        <f t="shared" si="30"/>
        <v/>
      </c>
      <c r="N117" s="290" t="str">
        <f t="shared" si="30"/>
        <v/>
      </c>
      <c r="O117" s="290" t="str">
        <f t="shared" si="30"/>
        <v/>
      </c>
      <c r="P117" s="290" t="str">
        <f t="shared" si="30"/>
        <v/>
      </c>
      <c r="Q117" s="290" t="str">
        <f t="shared" si="30"/>
        <v/>
      </c>
      <c r="R117" s="290" t="str">
        <f t="shared" si="30"/>
        <v/>
      </c>
      <c r="S117" s="290" t="str">
        <f t="shared" si="30"/>
        <v/>
      </c>
      <c r="T117" s="290" t="str">
        <f t="shared" si="30"/>
        <v/>
      </c>
      <c r="U117" s="290" t="str">
        <f t="shared" si="30"/>
        <v/>
      </c>
      <c r="V117" s="621"/>
    </row>
    <row r="118" spans="1:22" s="75" customFormat="1" ht="12" hidden="1" customHeight="1" x14ac:dyDescent="0.2">
      <c r="A118" s="309"/>
      <c r="B118" s="291" t="str">
        <f>IF(INPUT!C69="","",CONCATENATE("(",INPUT!C69,")"))</f>
        <v/>
      </c>
      <c r="C118" s="291" t="str">
        <f>IF(INPUT!D69="","",CONCATENATE("(",INPUT!D69,")"))</f>
        <v/>
      </c>
      <c r="D118" s="291" t="str">
        <f>IF(INPUT!E69="","",CONCATENATE("(",INPUT!E69,")"))</f>
        <v/>
      </c>
      <c r="E118" s="291" t="str">
        <f>IF(INPUT!F69="","",CONCATENATE("(",INPUT!F69,")"))</f>
        <v/>
      </c>
      <c r="F118" s="291" t="str">
        <f>IF(INPUT!G69="","",CONCATENATE("(",INPUT!G69,")"))</f>
        <v/>
      </c>
      <c r="G118" s="291" t="str">
        <f>IF(INPUT!H69="","",CONCATENATE("(",INPUT!H69,")"))</f>
        <v/>
      </c>
      <c r="H118" s="291" t="str">
        <f>IF(INPUT!I69="","",CONCATENATE("(",INPUT!I69,")"))</f>
        <v/>
      </c>
      <c r="I118" s="291" t="str">
        <f>IF(INPUT!J69="","",CONCATENATE("(",INPUT!J69,")"))</f>
        <v/>
      </c>
      <c r="J118" s="291" t="str">
        <f>IF(INPUT!K69="","",CONCATENATE("(",INPUT!K69,")"))</f>
        <v/>
      </c>
      <c r="K118" s="291" t="str">
        <f>IF(INPUT!L69="","",CONCATENATE("(",INPUT!L69,")"))</f>
        <v/>
      </c>
      <c r="L118" s="291" t="str">
        <f>IF(INPUT!M69="","",CONCATENATE("(",INPUT!M69,")"))</f>
        <v/>
      </c>
      <c r="M118" s="291" t="str">
        <f>IF(INPUT!N69="","",CONCATENATE("(",INPUT!N69,")"))</f>
        <v/>
      </c>
      <c r="N118" s="291" t="str">
        <f>IF(INPUT!O69="","",CONCATENATE("(",INPUT!O69,")"))</f>
        <v/>
      </c>
      <c r="O118" s="291" t="str">
        <f>IF(INPUT!P69="","",CONCATENATE("(",INPUT!P69,")"))</f>
        <v/>
      </c>
      <c r="P118" s="291" t="str">
        <f>IF(INPUT!Q69="","",CONCATENATE("(",INPUT!Q69,")"))</f>
        <v/>
      </c>
      <c r="Q118" s="291" t="str">
        <f>IF(INPUT!R69="","",CONCATENATE("(",INPUT!R69,")"))</f>
        <v/>
      </c>
      <c r="R118" s="291" t="str">
        <f>IF(INPUT!S69="","",CONCATENATE("(",INPUT!S69,")"))</f>
        <v/>
      </c>
      <c r="S118" s="291" t="str">
        <f>IF(INPUT!T69="","",CONCATENATE("(",INPUT!T69,")"))</f>
        <v/>
      </c>
      <c r="T118" s="291" t="str">
        <f>IF(INPUT!U69="","",CONCATENATE("(",INPUT!U69,")"))</f>
        <v/>
      </c>
      <c r="U118" s="291" t="str">
        <f>IF(INPUT!V69="","",CONCATENATE("(",INPUT!V69,")"))</f>
        <v/>
      </c>
      <c r="V118" s="621"/>
    </row>
    <row r="119" spans="1:22" s="75" customFormat="1" ht="12" hidden="1" customHeight="1" x14ac:dyDescent="0.2">
      <c r="A119" s="308" t="s">
        <v>399</v>
      </c>
      <c r="B119" s="293" t="str">
        <f>B166</f>
        <v/>
      </c>
      <c r="C119" s="293" t="str">
        <f>C166</f>
        <v/>
      </c>
      <c r="D119" s="293" t="str">
        <f t="shared" ref="D119:U119" si="31">D166</f>
        <v/>
      </c>
      <c r="E119" s="293" t="str">
        <f t="shared" si="31"/>
        <v/>
      </c>
      <c r="F119" s="293">
        <f t="shared" si="31"/>
        <v>0.31446540880503149</v>
      </c>
      <c r="G119" s="293">
        <f t="shared" si="31"/>
        <v>0.20953569443828748</v>
      </c>
      <c r="H119" s="293">
        <f t="shared" si="31"/>
        <v>0.16538362395749659</v>
      </c>
      <c r="I119" s="293">
        <f t="shared" si="31"/>
        <v>0.14732362488140044</v>
      </c>
      <c r="J119" s="293">
        <f t="shared" si="31"/>
        <v>0.13410934251528595</v>
      </c>
      <c r="K119" s="293">
        <f t="shared" si="31"/>
        <v>0.12497610808308754</v>
      </c>
      <c r="L119" s="293">
        <f t="shared" si="31"/>
        <v>0.1197647259385414</v>
      </c>
      <c r="M119" s="293" t="str">
        <f t="shared" si="31"/>
        <v/>
      </c>
      <c r="N119" s="293" t="str">
        <f t="shared" si="31"/>
        <v/>
      </c>
      <c r="O119" s="293" t="str">
        <f t="shared" si="31"/>
        <v/>
      </c>
      <c r="P119" s="293" t="str">
        <f t="shared" si="31"/>
        <v/>
      </c>
      <c r="Q119" s="293" t="str">
        <f t="shared" si="31"/>
        <v/>
      </c>
      <c r="R119" s="293" t="str">
        <f t="shared" si="31"/>
        <v/>
      </c>
      <c r="S119" s="293" t="str">
        <f t="shared" si="31"/>
        <v/>
      </c>
      <c r="T119" s="293" t="str">
        <f t="shared" si="31"/>
        <v/>
      </c>
      <c r="U119" s="293" t="str">
        <f t="shared" si="31"/>
        <v/>
      </c>
      <c r="V119" s="621"/>
    </row>
    <row r="120" spans="1:22" s="75" customFormat="1" ht="12" hidden="1" customHeight="1" x14ac:dyDescent="0.2">
      <c r="A120" s="309"/>
      <c r="B120" s="292" t="str">
        <f>IF(INPUT!C70="","",CONCATENATE("(",INPUT!C70,"%",")"))</f>
        <v/>
      </c>
      <c r="C120" s="292" t="str">
        <f>IF(INPUT!D70="","",CONCATENATE("(",INPUT!D70,"%",")"))</f>
        <v/>
      </c>
      <c r="D120" s="292" t="str">
        <f>IF(INPUT!E70="","",CONCATENATE("(",INPUT!E70,"%",")"))</f>
        <v/>
      </c>
      <c r="E120" s="292" t="str">
        <f>IF(INPUT!F70="","",CONCATENATE("(",INPUT!F70,"%",")"))</f>
        <v/>
      </c>
      <c r="F120" s="292" t="str">
        <f>IF(INPUT!G70="","",CONCATENATE("(",INPUT!G70,"%",")"))</f>
        <v/>
      </c>
      <c r="G120" s="292" t="str">
        <f>IF(INPUT!H70="","",CONCATENATE("(",INPUT!H70,"%",")"))</f>
        <v/>
      </c>
      <c r="H120" s="292" t="str">
        <f>IF(INPUT!I70="","",CONCATENATE("(",INPUT!I70,"%",")"))</f>
        <v/>
      </c>
      <c r="I120" s="292" t="str">
        <f>IF(INPUT!J70="","",CONCATENATE("(",INPUT!J70,"%",")"))</f>
        <v/>
      </c>
      <c r="J120" s="292" t="str">
        <f>IF(INPUT!K70="","",CONCATENATE("(",INPUT!K70,"%",")"))</f>
        <v/>
      </c>
      <c r="K120" s="292" t="str">
        <f>IF(INPUT!L70="","",CONCATENATE("(",INPUT!L70,"%",")"))</f>
        <v/>
      </c>
      <c r="L120" s="292" t="str">
        <f>IF(INPUT!M70="","",CONCATENATE("(",INPUT!M70,"%",")"))</f>
        <v/>
      </c>
      <c r="M120" s="292" t="str">
        <f>IF(INPUT!N70="","",CONCATENATE("(",INPUT!N70,"%",")"))</f>
        <v/>
      </c>
      <c r="N120" s="292" t="str">
        <f>IF(INPUT!O70="","",CONCATENATE("(",INPUT!O70,"%",")"))</f>
        <v/>
      </c>
      <c r="O120" s="292" t="str">
        <f>IF(INPUT!P70="","",CONCATENATE("(",INPUT!P70,"%",")"))</f>
        <v/>
      </c>
      <c r="P120" s="292" t="str">
        <f>IF(INPUT!Q70="","",CONCATENATE("(",INPUT!Q70,"%",")"))</f>
        <v/>
      </c>
      <c r="Q120" s="292" t="str">
        <f>IF(INPUT!R70="","",CONCATENATE("(",INPUT!R70,"%",")"))</f>
        <v/>
      </c>
      <c r="R120" s="292" t="str">
        <f>IF(INPUT!S70="","",CONCATENATE("(",INPUT!S70,"%",")"))</f>
        <v/>
      </c>
      <c r="S120" s="292" t="str">
        <f>IF(INPUT!T70="","",CONCATENATE("(",INPUT!T70,"%",")"))</f>
        <v/>
      </c>
      <c r="T120" s="292" t="str">
        <f>IF(INPUT!U70="","",CONCATENATE("(",INPUT!U70,"%",")"))</f>
        <v/>
      </c>
      <c r="U120" s="292" t="str">
        <f>IF(INPUT!V70="","",CONCATENATE("(",INPUT!V70,"%",")"))</f>
        <v/>
      </c>
      <c r="V120" s="621"/>
    </row>
    <row r="121" spans="1:22" s="75" customFormat="1" ht="12" hidden="1" customHeight="1" x14ac:dyDescent="0.2">
      <c r="A121" s="308" t="s">
        <v>400</v>
      </c>
      <c r="B121" s="293" t="str">
        <f>IF(ISERROR(Liab!C24/'CRA Validation'!B160),"",IF(Liab!C24/'CRA Validation'!B160=0,"",Liab!C24/'CRA Validation'!B160))</f>
        <v/>
      </c>
      <c r="C121" s="293">
        <f>IF(ISERROR(Liab!D24/'CRA Validation'!C160),"",IF(Liab!D24/'CRA Validation'!C160=0,"",Liab!D24/'CRA Validation'!C160))</f>
        <v>5.405405405405405E-2</v>
      </c>
      <c r="D121" s="293">
        <f>IF(ISERROR(Liab!E24/'CRA Validation'!D160),"",IF(Liab!E24/'CRA Validation'!D160=0,"",Liab!E24/'CRA Validation'!D160))</f>
        <v>0.37681159420289861</v>
      </c>
      <c r="E121" s="293">
        <f>IF(ISERROR(Liab!F24/'CRA Validation'!E160),"",IF(Liab!F24/'CRA Validation'!E160=0,"",Liab!F24/'CRA Validation'!E160))</f>
        <v>0.28037383177570097</v>
      </c>
      <c r="F121" s="293">
        <f>IF(ISERROR(Liab!G24/'CRA Validation'!F160),"",IF(Liab!G24/'CRA Validation'!F160=0,"",Liab!G24/'CRA Validation'!F160))</f>
        <v>3.1446540880503152E-2</v>
      </c>
      <c r="G121" s="293">
        <f>IF(ISERROR(Liab!H24/'CRA Validation'!G160),"",IF(Liab!H24/'CRA Validation'!G160=0,"",Liab!H24/'CRA Validation'!G160))</f>
        <v>0.15715177082871562</v>
      </c>
      <c r="H121" s="293">
        <f>IF(ISERROR(Liab!I24/'CRA Validation'!H160),"",IF(Liab!I24/'CRA Validation'!H160=0,"",Liab!I24/'CRA Validation'!H160))</f>
        <v>0.12403771796812244</v>
      </c>
      <c r="I121" s="293">
        <f>IF(ISERROR(Liab!J24/'CRA Validation'!I160),"",IF(Liab!J24/'CRA Validation'!I160=0,"",Liab!J24/'CRA Validation'!I160))</f>
        <v>7.3661812440700219E-2</v>
      </c>
      <c r="J121" s="293">
        <f>IF(ISERROR(Liab!K24/'CRA Validation'!J160),"",IF(Liab!K24/'CRA Validation'!J160=0,"",Liab!K24/'CRA Validation'!J160))</f>
        <v>5.0291003443232229E-2</v>
      </c>
      <c r="K121" s="293">
        <f>IF(ISERROR(Liab!L24/'CRA Validation'!K160),"",IF(Liab!L24/'CRA Validation'!K160=0,"",Liab!L24/'CRA Validation'!K160))</f>
        <v>3.1244027020771885E-2</v>
      </c>
      <c r="L121" s="293">
        <f>IF(ISERROR(Liab!M24/'CRA Validation'!L160),"",IF(Liab!M24/'CRA Validation'!L160=0,"",Liab!M24/'CRA Validation'!L160))</f>
        <v>1.4970590742317675E-2</v>
      </c>
      <c r="M121" s="293" t="str">
        <f>IF(ISERROR(Liab!N24/'CRA Validation'!M160),"",IF(Liab!N24/'CRA Validation'!M160=0,"",Liab!N24/'CRA Validation'!M160))</f>
        <v/>
      </c>
      <c r="N121" s="293" t="str">
        <f>IF(ISERROR(Liab!O24/'CRA Validation'!N160),"",IF(Liab!O24/'CRA Validation'!N160=0,"",Liab!O24/'CRA Validation'!N160))</f>
        <v/>
      </c>
      <c r="O121" s="293" t="str">
        <f>IF(ISERROR(Liab!P24/'CRA Validation'!O160),"",IF(Liab!P24/'CRA Validation'!O160=0,"",Liab!P24/'CRA Validation'!O160))</f>
        <v/>
      </c>
      <c r="P121" s="293" t="str">
        <f>IF(ISERROR(Liab!Q24/'CRA Validation'!P160),"",IF(Liab!Q24/'CRA Validation'!P160=0,"",Liab!Q24/'CRA Validation'!P160))</f>
        <v/>
      </c>
      <c r="Q121" s="293" t="str">
        <f>IF(ISERROR(Liab!R24/'CRA Validation'!Q160),"",IF(Liab!R24/'CRA Validation'!Q160=0,"",Liab!R24/'CRA Validation'!Q160))</f>
        <v/>
      </c>
      <c r="R121" s="293" t="str">
        <f>IF(ISERROR(Liab!S24/'CRA Validation'!R160),"",IF(Liab!S24/'CRA Validation'!R160=0,"",Liab!S24/'CRA Validation'!R160))</f>
        <v/>
      </c>
      <c r="S121" s="293" t="str">
        <f>IF(ISERROR(Liab!T24/'CRA Validation'!S160),"",IF(Liab!T24/'CRA Validation'!S160=0,"",Liab!T24/'CRA Validation'!S160))</f>
        <v/>
      </c>
      <c r="T121" s="293" t="str">
        <f>IF(ISERROR(Liab!U24/'CRA Validation'!T160),"",IF(Liab!U24/'CRA Validation'!T160=0,"",Liab!U24/'CRA Validation'!T160))</f>
        <v/>
      </c>
      <c r="U121" s="293" t="str">
        <f>IF(ISERROR(Liab!V24/'CRA Validation'!U160),"",IF(Liab!V24/'CRA Validation'!U160=0,"",Liab!V24/'CRA Validation'!U160))</f>
        <v/>
      </c>
      <c r="V121" s="621"/>
    </row>
    <row r="122" spans="1:22" s="75" customFormat="1" ht="12" hidden="1" customHeight="1" x14ac:dyDescent="0.2">
      <c r="A122" s="309"/>
      <c r="B122" s="292" t="str">
        <f>IF(INPUT!C71="","",CONCATENATE("(",INPUT!C71,"%",")"))</f>
        <v/>
      </c>
      <c r="C122" s="292" t="str">
        <f>IF(INPUT!D71="","",CONCATENATE("(",INPUT!D71,"%",")"))</f>
        <v/>
      </c>
      <c r="D122" s="292" t="str">
        <f>IF(INPUT!E71="","",CONCATENATE("(",INPUT!E71,"%",")"))</f>
        <v/>
      </c>
      <c r="E122" s="292" t="str">
        <f>IF(INPUT!F71="","",CONCATENATE("(",INPUT!F71,"%",")"))</f>
        <v/>
      </c>
      <c r="F122" s="292" t="str">
        <f>IF(INPUT!G71="","",CONCATENATE("(",INPUT!G71,"%",")"))</f>
        <v/>
      </c>
      <c r="G122" s="292" t="str">
        <f>IF(INPUT!H71="","",CONCATENATE("(",INPUT!H71,"%",")"))</f>
        <v/>
      </c>
      <c r="H122" s="292" t="str">
        <f>IF(INPUT!I71="","",CONCATENATE("(",INPUT!I71,"%",")"))</f>
        <v/>
      </c>
      <c r="I122" s="292" t="str">
        <f>IF(INPUT!J71="","",CONCATENATE("(",INPUT!J71,"%",")"))</f>
        <v/>
      </c>
      <c r="J122" s="292" t="str">
        <f>IF(INPUT!K71="","",CONCATENATE("(",INPUT!K71,"%",")"))</f>
        <v/>
      </c>
      <c r="K122" s="292" t="str">
        <f>IF(INPUT!L71="","",CONCATENATE("(",INPUT!L71,"%",")"))</f>
        <v/>
      </c>
      <c r="L122" s="292" t="str">
        <f>IF(INPUT!M71="","",CONCATENATE("(",INPUT!M71,"%",")"))</f>
        <v/>
      </c>
      <c r="M122" s="292" t="str">
        <f>IF(INPUT!N71="","",CONCATENATE("(",INPUT!N71,"%",")"))</f>
        <v/>
      </c>
      <c r="N122" s="292" t="str">
        <f>IF(INPUT!O71="","",CONCATENATE("(",INPUT!O71,"%",")"))</f>
        <v/>
      </c>
      <c r="O122" s="292" t="str">
        <f>IF(INPUT!P71="","",CONCATENATE("(",INPUT!P71,"%",")"))</f>
        <v/>
      </c>
      <c r="P122" s="292" t="str">
        <f>IF(INPUT!Q71="","",CONCATENATE("(",INPUT!Q71,"%",")"))</f>
        <v/>
      </c>
      <c r="Q122" s="292" t="str">
        <f>IF(INPUT!R71="","",CONCATENATE("(",INPUT!R71,"%",")"))</f>
        <v/>
      </c>
      <c r="R122" s="292" t="str">
        <f>IF(INPUT!S71="","",CONCATENATE("(",INPUT!S71,"%",")"))</f>
        <v/>
      </c>
      <c r="S122" s="292" t="str">
        <f>IF(INPUT!T71="","",CONCATENATE("(",INPUT!T71,"%",")"))</f>
        <v/>
      </c>
      <c r="T122" s="292" t="str">
        <f>IF(INPUT!U71="","",CONCATENATE("(",INPUT!U71,"%",")"))</f>
        <v/>
      </c>
      <c r="U122" s="292" t="str">
        <f>IF(INPUT!V71="","",CONCATENATE("(",INPUT!V71,"%",")"))</f>
        <v/>
      </c>
      <c r="V122" s="621"/>
    </row>
    <row r="123" spans="1:22" s="75" customFormat="1" ht="12" hidden="1" customHeight="1" x14ac:dyDescent="0.2">
      <c r="A123" s="308" t="s">
        <v>401</v>
      </c>
      <c r="B123" s="293">
        <f>B167</f>
        <v>0.76190476190476186</v>
      </c>
      <c r="C123" s="293">
        <f>C167</f>
        <v>0.40540540540540532</v>
      </c>
      <c r="D123" s="293">
        <f t="shared" ref="D123:U123" si="32">D167</f>
        <v>1.8115942028985512</v>
      </c>
      <c r="E123" s="293">
        <f t="shared" si="32"/>
        <v>1.5728971962616822</v>
      </c>
      <c r="F123" s="293">
        <f t="shared" si="32"/>
        <v>0.41509433962264158</v>
      </c>
      <c r="G123" s="293">
        <f t="shared" si="32"/>
        <v>0.37645366206515374</v>
      </c>
      <c r="H123" s="293">
        <f t="shared" si="32"/>
        <v>0.34296106520119135</v>
      </c>
      <c r="I123" s="293">
        <f t="shared" si="32"/>
        <v>0.29985810479030911</v>
      </c>
      <c r="J123" s="293">
        <f t="shared" si="32"/>
        <v>0.2781163233088918</v>
      </c>
      <c r="K123" s="293">
        <f t="shared" si="32"/>
        <v>0.2868667216509469</v>
      </c>
      <c r="L123" s="293">
        <f t="shared" si="32"/>
        <v>8.9377046585016398E-2</v>
      </c>
      <c r="M123" s="293" t="str">
        <f t="shared" si="32"/>
        <v/>
      </c>
      <c r="N123" s="293" t="str">
        <f t="shared" si="32"/>
        <v/>
      </c>
      <c r="O123" s="293" t="str">
        <f t="shared" si="32"/>
        <v/>
      </c>
      <c r="P123" s="293" t="str">
        <f t="shared" si="32"/>
        <v/>
      </c>
      <c r="Q123" s="293" t="str">
        <f t="shared" si="32"/>
        <v/>
      </c>
      <c r="R123" s="293" t="str">
        <f t="shared" si="32"/>
        <v/>
      </c>
      <c r="S123" s="293" t="str">
        <f t="shared" si="32"/>
        <v/>
      </c>
      <c r="T123" s="293" t="str">
        <f t="shared" si="32"/>
        <v/>
      </c>
      <c r="U123" s="293" t="str">
        <f t="shared" si="32"/>
        <v/>
      </c>
      <c r="V123" s="621"/>
    </row>
    <row r="124" spans="1:22" s="75" customFormat="1" ht="12" hidden="1" customHeight="1" x14ac:dyDescent="0.2">
      <c r="A124" s="309"/>
      <c r="B124" s="292" t="str">
        <f>IF(INPUT!C72="","",CONCATENATE("(",INPUT!C72,"%",")"))</f>
        <v/>
      </c>
      <c r="C124" s="292" t="str">
        <f>IF(INPUT!D72="","",CONCATENATE("(",INPUT!D72,"%",")"))</f>
        <v/>
      </c>
      <c r="D124" s="292" t="str">
        <f>IF(INPUT!E72="","",CONCATENATE("(",INPUT!E72,"%",")"))</f>
        <v/>
      </c>
      <c r="E124" s="292" t="str">
        <f>IF(INPUT!F72="","",CONCATENATE("(",INPUT!F72,"%",")"))</f>
        <v/>
      </c>
      <c r="F124" s="292" t="str">
        <f>IF(INPUT!G72="","",CONCATENATE("(",INPUT!G72,"%",")"))</f>
        <v/>
      </c>
      <c r="G124" s="292" t="str">
        <f>IF(INPUT!H72="","",CONCATENATE("(",INPUT!H72,"%",")"))</f>
        <v/>
      </c>
      <c r="H124" s="292" t="str">
        <f>IF(INPUT!I72="","",CONCATENATE("(",INPUT!I72,"%",")"))</f>
        <v/>
      </c>
      <c r="I124" s="292" t="str">
        <f>IF(INPUT!J72="","",CONCATENATE("(",INPUT!J72,"%",")"))</f>
        <v/>
      </c>
      <c r="J124" s="292" t="str">
        <f>IF(INPUT!K72="","",CONCATENATE("(",INPUT!K72,"%",")"))</f>
        <v/>
      </c>
      <c r="K124" s="292" t="str">
        <f>IF(INPUT!L72="","",CONCATENATE("(",INPUT!L72,"%",")"))</f>
        <v/>
      </c>
      <c r="L124" s="292" t="str">
        <f>IF(INPUT!M72="","",CONCATENATE("(",INPUT!M72,"%",")"))</f>
        <v/>
      </c>
      <c r="M124" s="292" t="str">
        <f>IF(INPUT!N72="","",CONCATENATE("(",INPUT!N72,"%",")"))</f>
        <v/>
      </c>
      <c r="N124" s="292" t="str">
        <f>IF(INPUT!O72="","",CONCATENATE("(",INPUT!O72,"%",")"))</f>
        <v/>
      </c>
      <c r="O124" s="292" t="str">
        <f>IF(INPUT!P72="","",CONCATENATE("(",INPUT!P72,"%",")"))</f>
        <v/>
      </c>
      <c r="P124" s="292" t="str">
        <f>IF(INPUT!Q72="","",CONCATENATE("(",INPUT!Q72,"%",")"))</f>
        <v/>
      </c>
      <c r="Q124" s="292" t="str">
        <f>IF(INPUT!R72="","",CONCATENATE("(",INPUT!R72,"%",")"))</f>
        <v/>
      </c>
      <c r="R124" s="292" t="str">
        <f>IF(INPUT!S72="","",CONCATENATE("(",INPUT!S72,"%",")"))</f>
        <v/>
      </c>
      <c r="S124" s="292" t="str">
        <f>IF(INPUT!T72="","",CONCATENATE("(",INPUT!T72,"%",")"))</f>
        <v/>
      </c>
      <c r="T124" s="292" t="str">
        <f>IF(INPUT!U72="","",CONCATENATE("(",INPUT!U72,"%",")"))</f>
        <v/>
      </c>
      <c r="U124" s="292" t="str">
        <f>IF(INPUT!V72="","",CONCATENATE("(",INPUT!V72,"%",")"))</f>
        <v/>
      </c>
      <c r="V124" s="621"/>
    </row>
    <row r="125" spans="1:22" s="75" customFormat="1" ht="12" hidden="1" customHeight="1" x14ac:dyDescent="0.2">
      <c r="A125" s="308" t="s">
        <v>402</v>
      </c>
      <c r="B125" s="293">
        <f>B165</f>
        <v>0.23809523809523817</v>
      </c>
      <c r="C125" s="293">
        <f>C165</f>
        <v>0.59459459459459463</v>
      </c>
      <c r="D125" s="293">
        <f t="shared" ref="D125:U125" si="33">D165</f>
        <v>-0.81159420289855122</v>
      </c>
      <c r="E125" s="293">
        <f t="shared" si="33"/>
        <v>-0.57289719626168234</v>
      </c>
      <c r="F125" s="293">
        <f t="shared" si="33"/>
        <v>0.27044025157232698</v>
      </c>
      <c r="G125" s="293">
        <f t="shared" si="33"/>
        <v>0.41401064349655869</v>
      </c>
      <c r="H125" s="293">
        <f t="shared" si="33"/>
        <v>0.49165531084131209</v>
      </c>
      <c r="I125" s="293">
        <f t="shared" si="33"/>
        <v>0.55281827032829045</v>
      </c>
      <c r="J125" s="293">
        <f t="shared" si="33"/>
        <v>0.58777433417582226</v>
      </c>
      <c r="K125" s="293">
        <f t="shared" si="33"/>
        <v>0.58815717026596559</v>
      </c>
      <c r="L125" s="293">
        <f t="shared" si="33"/>
        <v>0.79085822747644219</v>
      </c>
      <c r="M125" s="293" t="str">
        <f t="shared" si="33"/>
        <v/>
      </c>
      <c r="N125" s="293" t="str">
        <f t="shared" si="33"/>
        <v/>
      </c>
      <c r="O125" s="293" t="str">
        <f t="shared" si="33"/>
        <v/>
      </c>
      <c r="P125" s="293" t="str">
        <f t="shared" si="33"/>
        <v/>
      </c>
      <c r="Q125" s="293" t="str">
        <f t="shared" si="33"/>
        <v/>
      </c>
      <c r="R125" s="293" t="str">
        <f t="shared" si="33"/>
        <v/>
      </c>
      <c r="S125" s="293" t="str">
        <f t="shared" si="33"/>
        <v/>
      </c>
      <c r="T125" s="293" t="str">
        <f t="shared" si="33"/>
        <v/>
      </c>
      <c r="U125" s="293" t="str">
        <f t="shared" si="33"/>
        <v/>
      </c>
      <c r="V125" s="621"/>
    </row>
    <row r="126" spans="1:22" s="75" customFormat="1" ht="12" hidden="1" customHeight="1" x14ac:dyDescent="0.2">
      <c r="A126" s="309"/>
      <c r="B126" s="292" t="str">
        <f>IF(INPUT!C73="","",CONCATENATE("(",INPUT!C73,"%",")"))</f>
        <v/>
      </c>
      <c r="C126" s="292" t="str">
        <f>IF(INPUT!D73="","",CONCATENATE("(",INPUT!D73,"%",")"))</f>
        <v/>
      </c>
      <c r="D126" s="292" t="str">
        <f>IF(INPUT!E73="","",CONCATENATE("(",INPUT!E73,"%",")"))</f>
        <v/>
      </c>
      <c r="E126" s="292" t="str">
        <f>IF(INPUT!F73="","",CONCATENATE("(",INPUT!F73,"%",")"))</f>
        <v/>
      </c>
      <c r="F126" s="292" t="str">
        <f>IF(INPUT!G73="","",CONCATENATE("(",INPUT!G73,"%",")"))</f>
        <v/>
      </c>
      <c r="G126" s="292" t="str">
        <f>IF(INPUT!H73="","",CONCATENATE("(",INPUT!H73,"%",")"))</f>
        <v/>
      </c>
      <c r="H126" s="292" t="str">
        <f>IF(INPUT!I73="","",CONCATENATE("(",INPUT!I73,"%",")"))</f>
        <v/>
      </c>
      <c r="I126" s="292" t="str">
        <f>IF(INPUT!J73="","",CONCATENATE("(",INPUT!J73,"%",")"))</f>
        <v/>
      </c>
      <c r="J126" s="292" t="str">
        <f>IF(INPUT!K73="","",CONCATENATE("(",INPUT!K73,"%",")"))</f>
        <v/>
      </c>
      <c r="K126" s="292" t="str">
        <f>IF(INPUT!L73="","",CONCATENATE("(",INPUT!L73,"%",")"))</f>
        <v/>
      </c>
      <c r="L126" s="292" t="str">
        <f>IF(INPUT!M73="","",CONCATENATE("(",INPUT!M73,"%",")"))</f>
        <v/>
      </c>
      <c r="M126" s="292" t="str">
        <f>IF(INPUT!N73="","",CONCATENATE("(",INPUT!N73,"%",")"))</f>
        <v/>
      </c>
      <c r="N126" s="292" t="str">
        <f>IF(INPUT!O73="","",CONCATENATE("(",INPUT!O73,"%",")"))</f>
        <v/>
      </c>
      <c r="O126" s="292" t="str">
        <f>IF(INPUT!P73="","",CONCATENATE("(",INPUT!P73,"%",")"))</f>
        <v/>
      </c>
      <c r="P126" s="292" t="str">
        <f>IF(INPUT!Q73="","",CONCATENATE("(",INPUT!Q73,"%",")"))</f>
        <v/>
      </c>
      <c r="Q126" s="292" t="str">
        <f>IF(INPUT!R73="","",CONCATENATE("(",INPUT!R73,"%",")"))</f>
        <v/>
      </c>
      <c r="R126" s="292" t="str">
        <f>IF(INPUT!S73="","",CONCATENATE("(",INPUT!S73,"%",")"))</f>
        <v/>
      </c>
      <c r="S126" s="292" t="str">
        <f>IF(INPUT!T73="","",CONCATENATE("(",INPUT!T73,"%",")"))</f>
        <v/>
      </c>
      <c r="T126" s="292" t="str">
        <f>IF(INPUT!U73="","",CONCATENATE("(",INPUT!U73,"%",")"))</f>
        <v/>
      </c>
      <c r="U126" s="292" t="str">
        <f>IF(INPUT!V73="","",CONCATENATE("(",INPUT!V73,"%",")"))</f>
        <v/>
      </c>
      <c r="V126" s="621"/>
    </row>
    <row r="127" spans="1:22" ht="15" hidden="1" customHeight="1" x14ac:dyDescent="0.25">
      <c r="A127" s="306" t="s">
        <v>462</v>
      </c>
      <c r="B127" s="255"/>
      <c r="C127" s="255"/>
      <c r="D127" s="255"/>
      <c r="E127" s="255"/>
      <c r="F127" s="255"/>
      <c r="G127" s="255"/>
      <c r="H127" s="255"/>
      <c r="I127" s="255"/>
      <c r="J127" s="255"/>
      <c r="K127" s="255"/>
      <c r="L127" s="255"/>
      <c r="M127" s="255"/>
      <c r="N127" s="255"/>
      <c r="O127" s="255"/>
      <c r="P127" s="255"/>
      <c r="Q127" s="255"/>
      <c r="R127" s="255"/>
      <c r="S127" s="255"/>
      <c r="T127" s="255"/>
      <c r="U127" s="255"/>
      <c r="V127" s="612"/>
    </row>
    <row r="128" spans="1:22" ht="12" hidden="1" customHeight="1" x14ac:dyDescent="0.25">
      <c r="A128" s="259" t="s">
        <v>463</v>
      </c>
      <c r="B128" s="255"/>
      <c r="C128" s="255"/>
      <c r="D128" s="255"/>
      <c r="E128" s="255"/>
      <c r="F128" s="255"/>
      <c r="G128" s="255"/>
      <c r="H128" s="255"/>
      <c r="I128" s="255"/>
      <c r="J128" s="255"/>
      <c r="K128" s="255"/>
      <c r="L128" s="255"/>
      <c r="M128" s="255"/>
      <c r="N128" s="255"/>
      <c r="O128" s="255"/>
      <c r="P128" s="255"/>
      <c r="Q128" s="255"/>
      <c r="R128" s="255"/>
      <c r="S128" s="255"/>
      <c r="T128" s="255"/>
      <c r="U128" s="255"/>
      <c r="V128" s="612"/>
    </row>
    <row r="129" spans="1:22" s="297" customFormat="1" ht="12.75" hidden="1" customHeight="1" x14ac:dyDescent="0.25">
      <c r="A129" s="296"/>
      <c r="B129" s="261">
        <f>B3</f>
        <v>2020</v>
      </c>
      <c r="C129" s="261">
        <f>C3</f>
        <v>2021</v>
      </c>
      <c r="D129" s="261">
        <f t="shared" ref="D129:U129" si="34">D3</f>
        <v>2022</v>
      </c>
      <c r="E129" s="261">
        <f t="shared" si="34"/>
        <v>2023</v>
      </c>
      <c r="F129" s="261">
        <f t="shared" si="34"/>
        <v>2024</v>
      </c>
      <c r="G129" s="261">
        <f t="shared" si="34"/>
        <v>2025</v>
      </c>
      <c r="H129" s="261">
        <f t="shared" si="34"/>
        <v>2026</v>
      </c>
      <c r="I129" s="261">
        <f t="shared" si="34"/>
        <v>2027</v>
      </c>
      <c r="J129" s="261">
        <f t="shared" si="34"/>
        <v>2028</v>
      </c>
      <c r="K129" s="261">
        <f t="shared" si="34"/>
        <v>2029</v>
      </c>
      <c r="L129" s="261">
        <f t="shared" si="34"/>
        <v>2030</v>
      </c>
      <c r="M129" s="261">
        <f t="shared" si="34"/>
        <v>2031</v>
      </c>
      <c r="N129" s="261">
        <f t="shared" si="34"/>
        <v>2032</v>
      </c>
      <c r="O129" s="261">
        <f t="shared" si="34"/>
        <v>2033</v>
      </c>
      <c r="P129" s="261">
        <f t="shared" si="34"/>
        <v>2034</v>
      </c>
      <c r="Q129" s="261">
        <f t="shared" si="34"/>
        <v>2035</v>
      </c>
      <c r="R129" s="261">
        <f t="shared" si="34"/>
        <v>2036</v>
      </c>
      <c r="S129" s="261">
        <f t="shared" si="34"/>
        <v>2037</v>
      </c>
      <c r="T129" s="261">
        <f t="shared" si="34"/>
        <v>2038</v>
      </c>
      <c r="U129" s="261">
        <f t="shared" si="34"/>
        <v>2039</v>
      </c>
      <c r="V129" s="613"/>
    </row>
    <row r="130" spans="1:22" s="297" customFormat="1" ht="12.75" hidden="1" customHeight="1" x14ac:dyDescent="0.25">
      <c r="A130" s="296"/>
      <c r="B130" s="261" t="str">
        <f>B112</f>
        <v>AUD.</v>
      </c>
      <c r="C130" s="261" t="str">
        <f>C112</f>
        <v>AUD.</v>
      </c>
      <c r="D130" s="261" t="str">
        <f t="shared" ref="D130:U130" si="35">D112</f>
        <v>AUD.</v>
      </c>
      <c r="E130" s="261" t="str">
        <f t="shared" si="35"/>
        <v>EST.</v>
      </c>
      <c r="F130" s="261" t="str">
        <f t="shared" si="35"/>
        <v>PROJ.</v>
      </c>
      <c r="G130" s="261" t="str">
        <f t="shared" si="35"/>
        <v>PROJ.</v>
      </c>
      <c r="H130" s="261" t="str">
        <f t="shared" si="35"/>
        <v>PROJ.</v>
      </c>
      <c r="I130" s="261" t="str">
        <f t="shared" si="35"/>
        <v>PROJ.</v>
      </c>
      <c r="J130" s="261" t="str">
        <f t="shared" si="35"/>
        <v>PROJ.</v>
      </c>
      <c r="K130" s="261" t="str">
        <f t="shared" si="35"/>
        <v>PROJ.</v>
      </c>
      <c r="L130" s="261" t="str">
        <f t="shared" si="35"/>
        <v>PROJ.</v>
      </c>
      <c r="M130" s="261" t="str">
        <f t="shared" si="35"/>
        <v>PROJ.</v>
      </c>
      <c r="N130" s="261" t="str">
        <f t="shared" si="35"/>
        <v>PROJ.</v>
      </c>
      <c r="O130" s="261" t="str">
        <f t="shared" si="35"/>
        <v>PROJ.</v>
      </c>
      <c r="P130" s="261" t="str">
        <f t="shared" si="35"/>
        <v>PROJ.</v>
      </c>
      <c r="Q130" s="261" t="str">
        <f t="shared" si="35"/>
        <v>PROJ.</v>
      </c>
      <c r="R130" s="261" t="str">
        <f t="shared" si="35"/>
        <v>PROJ.</v>
      </c>
      <c r="S130" s="261" t="str">
        <f t="shared" si="35"/>
        <v>PROJ.</v>
      </c>
      <c r="T130" s="261" t="str">
        <f t="shared" si="35"/>
        <v>PROJ.</v>
      </c>
      <c r="U130" s="261" t="str">
        <f t="shared" si="35"/>
        <v>PROJ.</v>
      </c>
      <c r="V130" s="613"/>
    </row>
    <row r="131" spans="1:22" ht="14.25" hidden="1" customHeight="1" x14ac:dyDescent="0.2">
      <c r="A131" s="287" t="s">
        <v>396</v>
      </c>
      <c r="B131" s="256">
        <f>B99</f>
        <v>0.8</v>
      </c>
      <c r="C131" s="256">
        <f>C99</f>
        <v>1.05</v>
      </c>
      <c r="D131" s="256">
        <f t="shared" ref="D131:U131" si="36">D99</f>
        <v>2.2000000000000002</v>
      </c>
      <c r="E131" s="256">
        <f t="shared" si="36"/>
        <v>4</v>
      </c>
      <c r="F131" s="256">
        <f t="shared" si="36"/>
        <v>20</v>
      </c>
      <c r="G131" s="256">
        <f t="shared" si="36"/>
        <v>34.28</v>
      </c>
      <c r="H131" s="256">
        <f t="shared" si="36"/>
        <v>40.42</v>
      </c>
      <c r="I131" s="256">
        <f t="shared" si="36"/>
        <v>44.09</v>
      </c>
      <c r="J131" s="256">
        <f t="shared" si="36"/>
        <v>47.96</v>
      </c>
      <c r="K131" s="256">
        <f t="shared" si="36"/>
        <v>52.03</v>
      </c>
      <c r="L131" s="256">
        <f t="shared" si="36"/>
        <v>56.2</v>
      </c>
      <c r="M131" s="256" t="str">
        <f t="shared" si="36"/>
        <v/>
      </c>
      <c r="N131" s="256" t="str">
        <f t="shared" si="36"/>
        <v/>
      </c>
      <c r="O131" s="256" t="str">
        <f t="shared" si="36"/>
        <v/>
      </c>
      <c r="P131" s="256" t="str">
        <f t="shared" si="36"/>
        <v/>
      </c>
      <c r="Q131" s="256" t="str">
        <f t="shared" si="36"/>
        <v/>
      </c>
      <c r="R131" s="256" t="str">
        <f t="shared" si="36"/>
        <v/>
      </c>
      <c r="S131" s="256" t="str">
        <f t="shared" si="36"/>
        <v/>
      </c>
      <c r="T131" s="256" t="str">
        <f t="shared" si="36"/>
        <v/>
      </c>
      <c r="U131" s="256" t="str">
        <f t="shared" si="36"/>
        <v/>
      </c>
      <c r="V131" s="612"/>
    </row>
    <row r="132" spans="1:22" ht="14.25" hidden="1" customHeight="1" x14ac:dyDescent="0.2">
      <c r="A132" s="287" t="s">
        <v>56</v>
      </c>
      <c r="B132" s="256">
        <f>B25</f>
        <v>9.9999999999999978E-2</v>
      </c>
      <c r="C132" s="256">
        <f>C25</f>
        <v>0.13</v>
      </c>
      <c r="D132" s="256">
        <f t="shared" ref="D132:U132" si="37">D25</f>
        <v>0.38000000000000017</v>
      </c>
      <c r="E132" s="256">
        <f t="shared" si="37"/>
        <v>0.30999999999999983</v>
      </c>
      <c r="F132" s="256">
        <f t="shared" si="37"/>
        <v>0.8200000000000004</v>
      </c>
      <c r="G132" s="256">
        <f t="shared" si="37"/>
        <v>1.7307250000000023</v>
      </c>
      <c r="H132" s="256">
        <f t="shared" si="37"/>
        <v>2.3448700000000016</v>
      </c>
      <c r="I132" s="256">
        <f t="shared" si="37"/>
        <v>2.6224675</v>
      </c>
      <c r="J132" s="256">
        <f t="shared" si="37"/>
        <v>2.8786849999999942</v>
      </c>
      <c r="K132" s="256">
        <f t="shared" si="37"/>
        <v>3.169150000000001</v>
      </c>
      <c r="L132" s="256">
        <f t="shared" si="37"/>
        <v>3.6418124999999986</v>
      </c>
      <c r="M132" s="256" t="str">
        <f t="shared" si="37"/>
        <v/>
      </c>
      <c r="N132" s="256" t="str">
        <f t="shared" si="37"/>
        <v/>
      </c>
      <c r="O132" s="256" t="str">
        <f t="shared" si="37"/>
        <v/>
      </c>
      <c r="P132" s="256" t="str">
        <f t="shared" si="37"/>
        <v/>
      </c>
      <c r="Q132" s="256" t="str">
        <f t="shared" si="37"/>
        <v/>
      </c>
      <c r="R132" s="256" t="str">
        <f t="shared" si="37"/>
        <v/>
      </c>
      <c r="S132" s="256" t="str">
        <f t="shared" si="37"/>
        <v/>
      </c>
      <c r="T132" s="256" t="str">
        <f t="shared" si="37"/>
        <v/>
      </c>
      <c r="U132" s="256" t="str">
        <f t="shared" si="37"/>
        <v/>
      </c>
      <c r="V132" s="612"/>
    </row>
    <row r="133" spans="1:22" ht="14.25" hidden="1" customHeight="1" x14ac:dyDescent="0.2">
      <c r="A133" s="287" t="s">
        <v>45</v>
      </c>
      <c r="B133" s="256">
        <f t="shared" ref="B133:C135" si="38">B100</f>
        <v>0.21000000000000002</v>
      </c>
      <c r="C133" s="256">
        <f t="shared" si="38"/>
        <v>0.37000000000000005</v>
      </c>
      <c r="D133" s="256">
        <f t="shared" ref="D133:U133" si="39">D100</f>
        <v>0.69</v>
      </c>
      <c r="E133" s="256">
        <f t="shared" si="39"/>
        <v>1.0699999999999998</v>
      </c>
      <c r="F133" s="256">
        <f t="shared" si="39"/>
        <v>6.3599999999999994</v>
      </c>
      <c r="G133" s="256">
        <f t="shared" si="39"/>
        <v>9.5449131250000008</v>
      </c>
      <c r="H133" s="256">
        <f t="shared" si="39"/>
        <v>12.09309575</v>
      </c>
      <c r="I133" s="256">
        <f t="shared" si="39"/>
        <v>13.575555187500001</v>
      </c>
      <c r="J133" s="256">
        <f t="shared" si="39"/>
        <v>14.913204124999998</v>
      </c>
      <c r="K133" s="256">
        <f t="shared" si="39"/>
        <v>16.003058750000001</v>
      </c>
      <c r="L133" s="256">
        <f t="shared" si="39"/>
        <v>16.699407812500002</v>
      </c>
      <c r="M133" s="256" t="str">
        <f t="shared" si="39"/>
        <v/>
      </c>
      <c r="N133" s="256" t="str">
        <f t="shared" si="39"/>
        <v/>
      </c>
      <c r="O133" s="256" t="str">
        <f t="shared" si="39"/>
        <v/>
      </c>
      <c r="P133" s="256" t="str">
        <f t="shared" si="39"/>
        <v/>
      </c>
      <c r="Q133" s="256" t="str">
        <f t="shared" si="39"/>
        <v/>
      </c>
      <c r="R133" s="256" t="str">
        <f t="shared" si="39"/>
        <v/>
      </c>
      <c r="S133" s="256" t="str">
        <f t="shared" si="39"/>
        <v/>
      </c>
      <c r="T133" s="256" t="str">
        <f t="shared" si="39"/>
        <v/>
      </c>
      <c r="U133" s="256" t="str">
        <f t="shared" si="39"/>
        <v/>
      </c>
      <c r="V133" s="612"/>
    </row>
    <row r="134" spans="1:22" ht="14.25" hidden="1" customHeight="1" x14ac:dyDescent="0.2">
      <c r="A134" s="287" t="s">
        <v>35</v>
      </c>
      <c r="B134" s="256">
        <f t="shared" si="38"/>
        <v>6.9999999999999979E-2</v>
      </c>
      <c r="C134" s="256">
        <f t="shared" si="38"/>
        <v>0.09</v>
      </c>
      <c r="D134" s="256">
        <f t="shared" ref="D134:U134" si="40">D101</f>
        <v>0.27000000000000018</v>
      </c>
      <c r="E134" s="256">
        <f t="shared" si="40"/>
        <v>0.21699999999999989</v>
      </c>
      <c r="F134" s="256">
        <f t="shared" si="40"/>
        <v>0.56000000000000028</v>
      </c>
      <c r="G134" s="256">
        <f t="shared" si="40"/>
        <v>1.1975075000000017</v>
      </c>
      <c r="H134" s="256">
        <f t="shared" si="40"/>
        <v>1.627409000000001</v>
      </c>
      <c r="I134" s="256">
        <f t="shared" si="40"/>
        <v>1.8217272499999999</v>
      </c>
      <c r="J134" s="256">
        <f t="shared" si="40"/>
        <v>2.0010794999999959</v>
      </c>
      <c r="K134" s="256">
        <f t="shared" si="40"/>
        <v>2.2184050000000006</v>
      </c>
      <c r="L134" s="256">
        <f t="shared" si="40"/>
        <v>2.5492687499999991</v>
      </c>
      <c r="M134" s="256" t="str">
        <f t="shared" si="40"/>
        <v/>
      </c>
      <c r="N134" s="256" t="str">
        <f t="shared" si="40"/>
        <v/>
      </c>
      <c r="O134" s="256" t="str">
        <f t="shared" si="40"/>
        <v/>
      </c>
      <c r="P134" s="256" t="str">
        <f t="shared" si="40"/>
        <v/>
      </c>
      <c r="Q134" s="256" t="str">
        <f t="shared" si="40"/>
        <v/>
      </c>
      <c r="R134" s="256" t="str">
        <f t="shared" si="40"/>
        <v/>
      </c>
      <c r="S134" s="256" t="str">
        <f t="shared" si="40"/>
        <v/>
      </c>
      <c r="T134" s="256" t="str">
        <f t="shared" si="40"/>
        <v/>
      </c>
      <c r="U134" s="256" t="str">
        <f t="shared" si="40"/>
        <v/>
      </c>
      <c r="V134" s="612"/>
    </row>
    <row r="135" spans="1:22" ht="14.25" hidden="1" customHeight="1" x14ac:dyDescent="0.2">
      <c r="A135" s="287" t="s">
        <v>47</v>
      </c>
      <c r="B135" s="256">
        <f t="shared" si="38"/>
        <v>9.9999999999999978E-2</v>
      </c>
      <c r="C135" s="256">
        <f t="shared" si="38"/>
        <v>0.11</v>
      </c>
      <c r="D135" s="256">
        <f t="shared" ref="D135:U135" si="41">D102</f>
        <v>0.2900000000000002</v>
      </c>
      <c r="E135" s="256">
        <f t="shared" si="41"/>
        <v>0.23699999999999988</v>
      </c>
      <c r="F135" s="256">
        <f t="shared" si="41"/>
        <v>2.1300000000000003</v>
      </c>
      <c r="G135" s="256">
        <f t="shared" si="41"/>
        <v>3.6775075000000017</v>
      </c>
      <c r="H135" s="256">
        <f t="shared" si="41"/>
        <v>3.7874090000000011</v>
      </c>
      <c r="I135" s="256">
        <f t="shared" si="41"/>
        <v>3.7017272499999998</v>
      </c>
      <c r="J135" s="256">
        <f t="shared" si="41"/>
        <v>3.6410794999999956</v>
      </c>
      <c r="K135" s="256">
        <f t="shared" si="41"/>
        <v>3.6484050000000003</v>
      </c>
      <c r="L135" s="256">
        <f t="shared" si="41"/>
        <v>3.7892687499999989</v>
      </c>
      <c r="M135" s="256" t="str">
        <f t="shared" si="41"/>
        <v/>
      </c>
      <c r="N135" s="256" t="str">
        <f t="shared" si="41"/>
        <v/>
      </c>
      <c r="O135" s="256" t="str">
        <f t="shared" si="41"/>
        <v/>
      </c>
      <c r="P135" s="256" t="str">
        <f t="shared" si="41"/>
        <v/>
      </c>
      <c r="Q135" s="256" t="str">
        <f t="shared" si="41"/>
        <v/>
      </c>
      <c r="R135" s="256" t="str">
        <f t="shared" si="41"/>
        <v/>
      </c>
      <c r="S135" s="256" t="str">
        <f t="shared" si="41"/>
        <v/>
      </c>
      <c r="T135" s="256" t="str">
        <f t="shared" si="41"/>
        <v/>
      </c>
      <c r="U135" s="256" t="str">
        <f t="shared" si="41"/>
        <v/>
      </c>
      <c r="V135" s="612"/>
    </row>
    <row r="136" spans="1:22" ht="14.25" hidden="1" customHeight="1" x14ac:dyDescent="0.2">
      <c r="A136" s="287" t="s">
        <v>17</v>
      </c>
      <c r="B136" s="256">
        <f>B45</f>
        <v>0.12999999999999998</v>
      </c>
      <c r="C136" s="256">
        <f>C45</f>
        <v>0.15</v>
      </c>
      <c r="D136" s="256">
        <f t="shared" ref="D136:U136" si="42">D45</f>
        <v>0.45000000000000018</v>
      </c>
      <c r="E136" s="256">
        <f t="shared" si="42"/>
        <v>0.79999999999999982</v>
      </c>
      <c r="F136" s="256">
        <f t="shared" si="42"/>
        <v>3.2800000000000007</v>
      </c>
      <c r="G136" s="256">
        <f t="shared" si="42"/>
        <v>5.3400000000000025</v>
      </c>
      <c r="H136" s="256">
        <f t="shared" si="42"/>
        <v>5.4500000000000028</v>
      </c>
      <c r="I136" s="256">
        <f t="shared" si="42"/>
        <v>5.3200000000000012</v>
      </c>
      <c r="J136" s="256">
        <f t="shared" si="42"/>
        <v>5.1799999999999944</v>
      </c>
      <c r="K136" s="256">
        <f t="shared" si="42"/>
        <v>5.1000000000000014</v>
      </c>
      <c r="L136" s="256">
        <f t="shared" si="42"/>
        <v>5.17</v>
      </c>
      <c r="M136" s="256" t="str">
        <f t="shared" si="42"/>
        <v/>
      </c>
      <c r="N136" s="256" t="str">
        <f t="shared" si="42"/>
        <v/>
      </c>
      <c r="O136" s="256" t="str">
        <f t="shared" si="42"/>
        <v/>
      </c>
      <c r="P136" s="256" t="str">
        <f t="shared" si="42"/>
        <v/>
      </c>
      <c r="Q136" s="256" t="str">
        <f t="shared" si="42"/>
        <v/>
      </c>
      <c r="R136" s="256" t="str">
        <f t="shared" si="42"/>
        <v/>
      </c>
      <c r="S136" s="256" t="str">
        <f t="shared" si="42"/>
        <v/>
      </c>
      <c r="T136" s="256" t="str">
        <f t="shared" si="42"/>
        <v/>
      </c>
      <c r="U136" s="256" t="str">
        <f t="shared" si="42"/>
        <v/>
      </c>
      <c r="V136" s="612"/>
    </row>
    <row r="137" spans="1:22" ht="15" hidden="1" customHeight="1" x14ac:dyDescent="0.25">
      <c r="A137" s="306" t="s">
        <v>464</v>
      </c>
      <c r="B137" s="255"/>
      <c r="C137" s="255"/>
      <c r="D137" s="255"/>
      <c r="E137" s="255"/>
      <c r="F137" s="255"/>
      <c r="G137" s="255"/>
      <c r="H137" s="255"/>
      <c r="I137" s="255"/>
      <c r="J137" s="255"/>
      <c r="K137" s="255"/>
      <c r="L137" s="255"/>
      <c r="M137" s="255"/>
      <c r="N137" s="255"/>
      <c r="O137" s="255"/>
      <c r="P137" s="255"/>
      <c r="Q137" s="255"/>
      <c r="R137" s="255"/>
      <c r="S137" s="255"/>
      <c r="T137" s="255"/>
      <c r="U137" s="255"/>
      <c r="V137" s="612"/>
    </row>
    <row r="138" spans="1:22" ht="15" hidden="1" customHeight="1" x14ac:dyDescent="0.25">
      <c r="A138" s="259" t="s">
        <v>465</v>
      </c>
      <c r="B138" s="255"/>
      <c r="C138" s="255"/>
      <c r="D138" s="255"/>
      <c r="E138" s="255"/>
      <c r="F138" s="255"/>
      <c r="G138" s="255"/>
      <c r="H138" s="255"/>
      <c r="I138" s="255"/>
      <c r="J138" s="255"/>
      <c r="K138" s="255"/>
      <c r="L138" s="255"/>
      <c r="M138" s="255"/>
      <c r="N138" s="255"/>
      <c r="O138" s="255"/>
      <c r="P138" s="255"/>
      <c r="Q138" s="255"/>
      <c r="R138" s="255"/>
      <c r="S138" s="255"/>
      <c r="T138" s="255"/>
      <c r="U138" s="255"/>
      <c r="V138" s="612"/>
    </row>
    <row r="139" spans="1:22" s="297" customFormat="1" ht="12.75" hidden="1" customHeight="1" x14ac:dyDescent="0.25">
      <c r="A139" s="296"/>
      <c r="B139" s="261">
        <f>B3</f>
        <v>2020</v>
      </c>
      <c r="C139" s="261">
        <f>C3</f>
        <v>2021</v>
      </c>
      <c r="D139" s="261">
        <f t="shared" ref="D139:U139" si="43">D3</f>
        <v>2022</v>
      </c>
      <c r="E139" s="261">
        <f t="shared" si="43"/>
        <v>2023</v>
      </c>
      <c r="F139" s="261">
        <f t="shared" si="43"/>
        <v>2024</v>
      </c>
      <c r="G139" s="261">
        <f t="shared" si="43"/>
        <v>2025</v>
      </c>
      <c r="H139" s="261">
        <f t="shared" si="43"/>
        <v>2026</v>
      </c>
      <c r="I139" s="261">
        <f t="shared" si="43"/>
        <v>2027</v>
      </c>
      <c r="J139" s="261">
        <f t="shared" si="43"/>
        <v>2028</v>
      </c>
      <c r="K139" s="261">
        <f t="shared" si="43"/>
        <v>2029</v>
      </c>
      <c r="L139" s="261">
        <f t="shared" si="43"/>
        <v>2030</v>
      </c>
      <c r="M139" s="261">
        <f t="shared" si="43"/>
        <v>2031</v>
      </c>
      <c r="N139" s="261">
        <f t="shared" si="43"/>
        <v>2032</v>
      </c>
      <c r="O139" s="261">
        <f t="shared" si="43"/>
        <v>2033</v>
      </c>
      <c r="P139" s="261">
        <f t="shared" si="43"/>
        <v>2034</v>
      </c>
      <c r="Q139" s="261">
        <f t="shared" si="43"/>
        <v>2035</v>
      </c>
      <c r="R139" s="261">
        <f t="shared" si="43"/>
        <v>2036</v>
      </c>
      <c r="S139" s="261">
        <f t="shared" si="43"/>
        <v>2037</v>
      </c>
      <c r="T139" s="261">
        <f t="shared" si="43"/>
        <v>2038</v>
      </c>
      <c r="U139" s="261">
        <f t="shared" si="43"/>
        <v>2039</v>
      </c>
      <c r="V139" s="613"/>
    </row>
    <row r="140" spans="1:22" s="297" customFormat="1" ht="12.75" hidden="1" customHeight="1" x14ac:dyDescent="0.25">
      <c r="A140" s="296"/>
      <c r="B140" s="261" t="str">
        <f>B130</f>
        <v>AUD.</v>
      </c>
      <c r="C140" s="261" t="str">
        <f>C130</f>
        <v>AUD.</v>
      </c>
      <c r="D140" s="261" t="str">
        <f t="shared" ref="D140:U140" si="44">D130</f>
        <v>AUD.</v>
      </c>
      <c r="E140" s="261" t="str">
        <f t="shared" si="44"/>
        <v>EST.</v>
      </c>
      <c r="F140" s="261" t="str">
        <f t="shared" si="44"/>
        <v>PROJ.</v>
      </c>
      <c r="G140" s="261" t="str">
        <f t="shared" si="44"/>
        <v>PROJ.</v>
      </c>
      <c r="H140" s="261" t="str">
        <f t="shared" si="44"/>
        <v>PROJ.</v>
      </c>
      <c r="I140" s="261" t="str">
        <f t="shared" si="44"/>
        <v>PROJ.</v>
      </c>
      <c r="J140" s="261" t="str">
        <f t="shared" si="44"/>
        <v>PROJ.</v>
      </c>
      <c r="K140" s="261" t="str">
        <f t="shared" si="44"/>
        <v>PROJ.</v>
      </c>
      <c r="L140" s="261" t="str">
        <f t="shared" si="44"/>
        <v>PROJ.</v>
      </c>
      <c r="M140" s="261" t="str">
        <f t="shared" si="44"/>
        <v>PROJ.</v>
      </c>
      <c r="N140" s="261" t="str">
        <f t="shared" si="44"/>
        <v>PROJ.</v>
      </c>
      <c r="O140" s="261" t="str">
        <f t="shared" si="44"/>
        <v>PROJ.</v>
      </c>
      <c r="P140" s="261" t="str">
        <f t="shared" si="44"/>
        <v>PROJ.</v>
      </c>
      <c r="Q140" s="261" t="str">
        <f t="shared" si="44"/>
        <v>PROJ.</v>
      </c>
      <c r="R140" s="261" t="str">
        <f t="shared" si="44"/>
        <v>PROJ.</v>
      </c>
      <c r="S140" s="261" t="str">
        <f t="shared" si="44"/>
        <v>PROJ.</v>
      </c>
      <c r="T140" s="261" t="str">
        <f t="shared" si="44"/>
        <v>PROJ.</v>
      </c>
      <c r="U140" s="261" t="str">
        <f t="shared" si="44"/>
        <v>PROJ.</v>
      </c>
      <c r="V140" s="613"/>
    </row>
    <row r="141" spans="1:22" s="315" customFormat="1" ht="14.25" hidden="1" customHeight="1" x14ac:dyDescent="0.2">
      <c r="A141" s="314" t="s">
        <v>407</v>
      </c>
      <c r="B141" s="272" t="str">
        <f>IF(ISERROR(Asset!C31),"",IF(Asset!C31=0,"",Asset!C31))</f>
        <v/>
      </c>
      <c r="C141" s="272" t="str">
        <f>IF(ISERROR(Asset!D31),"",IF(Asset!D31=0,"",Asset!D31))</f>
        <v/>
      </c>
      <c r="D141" s="272" t="str">
        <f>IF(ISERROR(Asset!E31),"",IF(Asset!E31=0,"",Asset!E31))</f>
        <v/>
      </c>
      <c r="E141" s="272" t="str">
        <f>IF(ISERROR(Asset!F31),"",IF(Asset!F31=0,"",Asset!F31))</f>
        <v/>
      </c>
      <c r="F141" s="272" t="str">
        <f>IF(ISERROR(Asset!G31),"",IF(Asset!G31=0,"",Asset!G31))</f>
        <v/>
      </c>
      <c r="G141" s="272" t="str">
        <f>IF(ISERROR(Asset!H31),"",IF(Asset!H31=0,"",Asset!H31))</f>
        <v/>
      </c>
      <c r="H141" s="272" t="str">
        <f>IF(ISERROR(Asset!I31),"",IF(Asset!I31=0,"",Asset!I31))</f>
        <v/>
      </c>
      <c r="I141" s="272" t="str">
        <f>IF(ISERROR(Asset!J31),"",IF(Asset!J31=0,"",Asset!J31))</f>
        <v/>
      </c>
      <c r="J141" s="272" t="str">
        <f>IF(ISERROR(Asset!K31),"",IF(Asset!K31=0,"",Asset!K31))</f>
        <v/>
      </c>
      <c r="K141" s="272" t="str">
        <f>IF(ISERROR(Asset!L31),"",IF(Asset!L31=0,"",Asset!L31))</f>
        <v/>
      </c>
      <c r="L141" s="272" t="str">
        <f>IF(ISERROR(Asset!M31),"",IF(Asset!M31=0,"",Asset!M31))</f>
        <v/>
      </c>
      <c r="M141" s="272" t="str">
        <f>IF(ISERROR(Asset!N31),"",IF(Asset!N31=0,"",Asset!N31))</f>
        <v/>
      </c>
      <c r="N141" s="272" t="str">
        <f>IF(ISERROR(Asset!O31),"",IF(Asset!O31=0,"",Asset!O31))</f>
        <v/>
      </c>
      <c r="O141" s="272" t="str">
        <f>IF(ISERROR(Asset!P31),"",IF(Asset!P31=0,"",Asset!P31))</f>
        <v/>
      </c>
      <c r="P141" s="272" t="str">
        <f>IF(ISERROR(Asset!Q31),"",IF(Asset!Q31=0,"",Asset!Q31))</f>
        <v/>
      </c>
      <c r="Q141" s="272" t="str">
        <f>IF(ISERROR(Asset!R31),"",IF(Asset!R31=0,"",Asset!R31))</f>
        <v/>
      </c>
      <c r="R141" s="272" t="str">
        <f>IF(ISERROR(Asset!S31),"",IF(Asset!S31=0,"",Asset!S31))</f>
        <v/>
      </c>
      <c r="S141" s="272" t="str">
        <f>IF(ISERROR(Asset!T31),"",IF(Asset!T31=0,"",Asset!T31))</f>
        <v/>
      </c>
      <c r="T141" s="272" t="str">
        <f>IF(ISERROR(Asset!U31),"",IF(Asset!U31=0,"",Asset!U31))</f>
        <v/>
      </c>
      <c r="U141" s="272" t="str">
        <f>IF(ISERROR(Asset!V31),"",IF(Asset!V31=0,"",Asset!V31))</f>
        <v/>
      </c>
      <c r="V141" s="623"/>
    </row>
    <row r="142" spans="1:22" s="297" customFormat="1" ht="14.25" hidden="1" customHeight="1" x14ac:dyDescent="0.25">
      <c r="A142" s="316" t="s">
        <v>408</v>
      </c>
      <c r="B142" s="273" t="str">
        <f>IF(ISERROR(B141/'Oper.St.'!C32*365),"",IF(B141/'Oper.St.'!C32*365=0,"",B141/'Oper.St.'!C32*365))</f>
        <v/>
      </c>
      <c r="C142" s="273" t="str">
        <f>IF(ISERROR(C141/'Oper.St.'!D32*365),"",IF(C141/'Oper.St.'!D32*365=0,"",C141/'Oper.St.'!D32*365))</f>
        <v/>
      </c>
      <c r="D142" s="273" t="str">
        <f>IF(ISERROR(D141/'Oper.St.'!E32*365),"",IF(D141/'Oper.St.'!E32*365=0,"",D141/'Oper.St.'!E32*365))</f>
        <v/>
      </c>
      <c r="E142" s="273" t="str">
        <f>IF(ISERROR(E141/'Oper.St.'!F32*365),"",IF(E141/'Oper.St.'!F32*365=0,"",E141/'Oper.St.'!F32*365))</f>
        <v/>
      </c>
      <c r="F142" s="273" t="str">
        <f>IF(ISERROR(F141/'Oper.St.'!G32*365),"",IF(F141/'Oper.St.'!G32*365=0,"",F141/'Oper.St.'!G32*365))</f>
        <v/>
      </c>
      <c r="G142" s="273" t="str">
        <f>IF(ISERROR(G141/'Oper.St.'!H32*365),"",IF(G141/'Oper.St.'!H32*365=0,"",G141/'Oper.St.'!H32*365))</f>
        <v/>
      </c>
      <c r="H142" s="273" t="str">
        <f>IF(ISERROR(H141/'Oper.St.'!I32*365),"",IF(H141/'Oper.St.'!I32*365=0,"",H141/'Oper.St.'!I32*365))</f>
        <v/>
      </c>
      <c r="I142" s="273" t="str">
        <f>IF(ISERROR(I141/'Oper.St.'!J32*365),"",IF(I141/'Oper.St.'!J32*365=0,"",I141/'Oper.St.'!J32*365))</f>
        <v/>
      </c>
      <c r="J142" s="273" t="str">
        <f>IF(ISERROR(J141/'Oper.St.'!K32*365),"",IF(J141/'Oper.St.'!K32*365=0,"",J141/'Oper.St.'!K32*365))</f>
        <v/>
      </c>
      <c r="K142" s="273" t="str">
        <f>IF(ISERROR(K141/'Oper.St.'!L32*365),"",IF(K141/'Oper.St.'!L32*365=0,"",K141/'Oper.St.'!L32*365))</f>
        <v/>
      </c>
      <c r="L142" s="273" t="str">
        <f>IF(ISERROR(L141/'Oper.St.'!M32*365),"",IF(L141/'Oper.St.'!M32*365=0,"",L141/'Oper.St.'!M32*365))</f>
        <v/>
      </c>
      <c r="M142" s="273" t="str">
        <f>IF(ISERROR(M141/'Oper.St.'!N32*365),"",IF(M141/'Oper.St.'!N32*365=0,"",M141/'Oper.St.'!N32*365))</f>
        <v/>
      </c>
      <c r="N142" s="273" t="str">
        <f>IF(ISERROR(N141/'Oper.St.'!O32*365),"",IF(N141/'Oper.St.'!O32*365=0,"",N141/'Oper.St.'!O32*365))</f>
        <v/>
      </c>
      <c r="O142" s="273" t="str">
        <f>IF(ISERROR(O141/'Oper.St.'!P32*365),"",IF(O141/'Oper.St.'!P32*365=0,"",O141/'Oper.St.'!P32*365))</f>
        <v/>
      </c>
      <c r="P142" s="273" t="str">
        <f>IF(ISERROR(P141/'Oper.St.'!Q32*365),"",IF(P141/'Oper.St.'!Q32*365=0,"",P141/'Oper.St.'!Q32*365))</f>
        <v/>
      </c>
      <c r="Q142" s="273" t="str">
        <f>IF(ISERROR(Q141/'Oper.St.'!R32*365),"",IF(Q141/'Oper.St.'!R32*365=0,"",Q141/'Oper.St.'!R32*365))</f>
        <v/>
      </c>
      <c r="R142" s="273" t="str">
        <f>IF(ISERROR(R141/'Oper.St.'!S32*365),"",IF(R141/'Oper.St.'!S32*365=0,"",R141/'Oper.St.'!S32*365))</f>
        <v/>
      </c>
      <c r="S142" s="273" t="str">
        <f>IF(ISERROR(S141/'Oper.St.'!T32*365),"",IF(S141/'Oper.St.'!T32*365=0,"",S141/'Oper.St.'!T32*365))</f>
        <v/>
      </c>
      <c r="T142" s="273" t="str">
        <f>IF(ISERROR(T141/'Oper.St.'!U32*365),"",IF(T141/'Oper.St.'!U32*365=0,"",T141/'Oper.St.'!U32*365))</f>
        <v/>
      </c>
      <c r="U142" s="273" t="str">
        <f>IF(ISERROR(U141/'Oper.St.'!V32*365),"",IF(U141/'Oper.St.'!V32*365=0,"",U141/'Oper.St.'!V32*365))</f>
        <v/>
      </c>
      <c r="V142" s="613"/>
    </row>
    <row r="143" spans="1:22" s="315" customFormat="1" ht="14.25" hidden="1" customHeight="1" x14ac:dyDescent="0.2">
      <c r="A143" s="314" t="s">
        <v>409</v>
      </c>
      <c r="B143" s="272" t="str">
        <f>IF(ISERROR(Asset!C32),"",IF(Asset!C32=0,"",Asset!C32))</f>
        <v/>
      </c>
      <c r="C143" s="272" t="str">
        <f>IF(ISERROR(Asset!D32),"",IF(Asset!D32=0,"",Asset!D32))</f>
        <v/>
      </c>
      <c r="D143" s="272" t="str">
        <f>IF(ISERROR(Asset!E32),"",IF(Asset!E32=0,"",Asset!E32))</f>
        <v/>
      </c>
      <c r="E143" s="272" t="str">
        <f>IF(ISERROR(Asset!F32),"",IF(Asset!F32=0,"",Asset!F32))</f>
        <v/>
      </c>
      <c r="F143" s="272" t="str">
        <f>IF(ISERROR(Asset!G32),"",IF(Asset!G32=0,"",Asset!G32))</f>
        <v/>
      </c>
      <c r="G143" s="272" t="str">
        <f>IF(ISERROR(Asset!H32),"",IF(Asset!H32=0,"",Asset!H32))</f>
        <v/>
      </c>
      <c r="H143" s="272" t="str">
        <f>IF(ISERROR(Asset!I32),"",IF(Asset!I32=0,"",Asset!I32))</f>
        <v/>
      </c>
      <c r="I143" s="272" t="str">
        <f>IF(ISERROR(Asset!J32),"",IF(Asset!J32=0,"",Asset!J32))</f>
        <v/>
      </c>
      <c r="J143" s="272" t="str">
        <f>IF(ISERROR(Asset!K32),"",IF(Asset!K32=0,"",Asset!K32))</f>
        <v/>
      </c>
      <c r="K143" s="272" t="str">
        <f>IF(ISERROR(Asset!L32),"",IF(Asset!L32=0,"",Asset!L32))</f>
        <v/>
      </c>
      <c r="L143" s="272" t="str">
        <f>IF(ISERROR(Asset!M32),"",IF(Asset!M32=0,"",Asset!M32))</f>
        <v/>
      </c>
      <c r="M143" s="272" t="str">
        <f>IF(ISERROR(Asset!N32),"",IF(Asset!N32=0,"",Asset!N32))</f>
        <v/>
      </c>
      <c r="N143" s="272" t="str">
        <f>IF(ISERROR(Asset!O32),"",IF(Asset!O32=0,"",Asset!O32))</f>
        <v/>
      </c>
      <c r="O143" s="272" t="str">
        <f>IF(ISERROR(Asset!P32),"",IF(Asset!P32=0,"",Asset!P32))</f>
        <v/>
      </c>
      <c r="P143" s="272" t="str">
        <f>IF(ISERROR(Asset!Q32),"",IF(Asset!Q32=0,"",Asset!Q32))</f>
        <v/>
      </c>
      <c r="Q143" s="272" t="str">
        <f>IF(ISERROR(Asset!R32),"",IF(Asset!R32=0,"",Asset!R32))</f>
        <v/>
      </c>
      <c r="R143" s="272" t="str">
        <f>IF(ISERROR(Asset!S32),"",IF(Asset!S32=0,"",Asset!S32))</f>
        <v/>
      </c>
      <c r="S143" s="272" t="str">
        <f>IF(ISERROR(Asset!T32),"",IF(Asset!T32=0,"",Asset!T32))</f>
        <v/>
      </c>
      <c r="T143" s="272" t="str">
        <f>IF(ISERROR(Asset!U32),"",IF(Asset!U32=0,"",Asset!U32))</f>
        <v/>
      </c>
      <c r="U143" s="272" t="str">
        <f>IF(ISERROR(Asset!V32),"",IF(Asset!V32=0,"",Asset!V32))</f>
        <v/>
      </c>
      <c r="V143" s="623"/>
    </row>
    <row r="144" spans="1:22" s="297" customFormat="1" ht="14.25" hidden="1" customHeight="1" x14ac:dyDescent="0.25">
      <c r="A144" s="316" t="s">
        <v>410</v>
      </c>
      <c r="B144" s="273" t="str">
        <f>IF(ISERROR(B143/'Oper.St.'!C33*365),"",IF(B143/'Oper.St.'!C33*365=0,"",B143/'Oper.St.'!C33*365))</f>
        <v/>
      </c>
      <c r="C144" s="273" t="str">
        <f>IF(ISERROR(C143/'Oper.St.'!D33*365),"",IF(C143/'Oper.St.'!D33*365=0,"",C143/'Oper.St.'!D33*365))</f>
        <v/>
      </c>
      <c r="D144" s="273" t="str">
        <f>IF(ISERROR(D143/'Oper.St.'!E33*365),"",IF(D143/'Oper.St.'!E33*365=0,"",D143/'Oper.St.'!E33*365))</f>
        <v/>
      </c>
      <c r="E144" s="273" t="str">
        <f>IF(ISERROR(E143/'Oper.St.'!F33*365),"",IF(E143/'Oper.St.'!F33*365=0,"",E143/'Oper.St.'!F33*365))</f>
        <v/>
      </c>
      <c r="F144" s="273" t="str">
        <f>IF(ISERROR(F143/'Oper.St.'!G33*365),"",IF(F143/'Oper.St.'!G33*365=0,"",F143/'Oper.St.'!G33*365))</f>
        <v/>
      </c>
      <c r="G144" s="273" t="str">
        <f>IF(ISERROR(G143/'Oper.St.'!H33*365),"",IF(G143/'Oper.St.'!H33*365=0,"",G143/'Oper.St.'!H33*365))</f>
        <v/>
      </c>
      <c r="H144" s="273" t="str">
        <f>IF(ISERROR(H143/'Oper.St.'!I33*365),"",IF(H143/'Oper.St.'!I33*365=0,"",H143/'Oper.St.'!I33*365))</f>
        <v/>
      </c>
      <c r="I144" s="273" t="str">
        <f>IF(ISERROR(I143/'Oper.St.'!J33*365),"",IF(I143/'Oper.St.'!J33*365=0,"",I143/'Oper.St.'!J33*365))</f>
        <v/>
      </c>
      <c r="J144" s="273" t="str">
        <f>IF(ISERROR(J143/'Oper.St.'!K33*365),"",IF(J143/'Oper.St.'!K33*365=0,"",J143/'Oper.St.'!K33*365))</f>
        <v/>
      </c>
      <c r="K144" s="273" t="str">
        <f>IF(ISERROR(K143/'Oper.St.'!L33*365),"",IF(K143/'Oper.St.'!L33*365=0,"",K143/'Oper.St.'!L33*365))</f>
        <v/>
      </c>
      <c r="L144" s="273" t="str">
        <f>IF(ISERROR(L143/'Oper.St.'!M33*365),"",IF(L143/'Oper.St.'!M33*365=0,"",L143/'Oper.St.'!M33*365))</f>
        <v/>
      </c>
      <c r="M144" s="273" t="str">
        <f>IF(ISERROR(M143/'Oper.St.'!N33*365),"",IF(M143/'Oper.St.'!N33*365=0,"",M143/'Oper.St.'!N33*365))</f>
        <v/>
      </c>
      <c r="N144" s="273" t="str">
        <f>IF(ISERROR(N143/'Oper.St.'!O33*365),"",IF(N143/'Oper.St.'!O33*365=0,"",N143/'Oper.St.'!O33*365))</f>
        <v/>
      </c>
      <c r="O144" s="273" t="str">
        <f>IF(ISERROR(O143/'Oper.St.'!P33*365),"",IF(O143/'Oper.St.'!P33*365=0,"",O143/'Oper.St.'!P33*365))</f>
        <v/>
      </c>
      <c r="P144" s="273" t="str">
        <f>IF(ISERROR(P143/'Oper.St.'!Q33*365),"",IF(P143/'Oper.St.'!Q33*365=0,"",P143/'Oper.St.'!Q33*365))</f>
        <v/>
      </c>
      <c r="Q144" s="273" t="str">
        <f>IF(ISERROR(Q143/'Oper.St.'!R33*365),"",IF(Q143/'Oper.St.'!R33*365=0,"",Q143/'Oper.St.'!R33*365))</f>
        <v/>
      </c>
      <c r="R144" s="273" t="str">
        <f>IF(ISERROR(R143/'Oper.St.'!S33*365),"",IF(R143/'Oper.St.'!S33*365=0,"",R143/'Oper.St.'!S33*365))</f>
        <v/>
      </c>
      <c r="S144" s="273" t="str">
        <f>IF(ISERROR(S143/'Oper.St.'!T33*365),"",IF(S143/'Oper.St.'!T33*365=0,"",S143/'Oper.St.'!T33*365))</f>
        <v/>
      </c>
      <c r="T144" s="273" t="str">
        <f>IF(ISERROR(T143/'Oper.St.'!U33*365),"",IF(T143/'Oper.St.'!U33*365=0,"",T143/'Oper.St.'!U33*365))</f>
        <v/>
      </c>
      <c r="U144" s="273" t="str">
        <f>IF(ISERROR(U143/'Oper.St.'!V33*365),"",IF(U143/'Oper.St.'!V33*365=0,"",U143/'Oper.St.'!V33*365))</f>
        <v/>
      </c>
      <c r="V144" s="613"/>
    </row>
    <row r="145" spans="1:22" s="315" customFormat="1" ht="14.25" hidden="1" customHeight="1" x14ac:dyDescent="0.2">
      <c r="A145" s="314" t="s">
        <v>403</v>
      </c>
      <c r="B145" s="272" t="str">
        <f>IF(ISERROR(Asset!C34),"",IF(Asset!C34=0,"",Asset!C34))</f>
        <v/>
      </c>
      <c r="C145" s="272" t="str">
        <f>IF(ISERROR(Asset!D34),"",IF(Asset!D34=0,"",Asset!D34))</f>
        <v/>
      </c>
      <c r="D145" s="272" t="str">
        <f>IF(ISERROR(Asset!E34),"",IF(Asset!E34=0,"",Asset!E34))</f>
        <v/>
      </c>
      <c r="E145" s="272" t="str">
        <f>IF(ISERROR(Asset!F34),"",IF(Asset!F34=0,"",Asset!F34))</f>
        <v/>
      </c>
      <c r="F145" s="272" t="str">
        <f>IF(ISERROR(Asset!G34),"",IF(Asset!G34=0,"",Asset!G34))</f>
        <v/>
      </c>
      <c r="G145" s="272" t="str">
        <f>IF(ISERROR(Asset!H34),"",IF(Asset!H34=0,"",Asset!H34))</f>
        <v/>
      </c>
      <c r="H145" s="272" t="str">
        <f>IF(ISERROR(Asset!I34),"",IF(Asset!I34=0,"",Asset!I34))</f>
        <v/>
      </c>
      <c r="I145" s="272" t="str">
        <f>IF(ISERROR(Asset!J34),"",IF(Asset!J34=0,"",Asset!J34))</f>
        <v/>
      </c>
      <c r="J145" s="272" t="str">
        <f>IF(ISERROR(Asset!K34),"",IF(Asset!K34=0,"",Asset!K34))</f>
        <v/>
      </c>
      <c r="K145" s="272" t="str">
        <f>IF(ISERROR(Asset!L34),"",IF(Asset!L34=0,"",Asset!L34))</f>
        <v/>
      </c>
      <c r="L145" s="272" t="str">
        <f>IF(ISERROR(Asset!M34),"",IF(Asset!M34=0,"",Asset!M34))</f>
        <v/>
      </c>
      <c r="M145" s="272" t="str">
        <f>IF(ISERROR(Asset!N34),"",IF(Asset!N34=0,"",Asset!N34))</f>
        <v/>
      </c>
      <c r="N145" s="272" t="str">
        <f>IF(ISERROR(Asset!O34),"",IF(Asset!O34=0,"",Asset!O34))</f>
        <v/>
      </c>
      <c r="O145" s="272" t="str">
        <f>IF(ISERROR(Asset!P34),"",IF(Asset!P34=0,"",Asset!P34))</f>
        <v/>
      </c>
      <c r="P145" s="272" t="str">
        <f>IF(ISERROR(Asset!Q34),"",IF(Asset!Q34=0,"",Asset!Q34))</f>
        <v/>
      </c>
      <c r="Q145" s="272" t="str">
        <f>IF(ISERROR(Asset!R34),"",IF(Asset!R34=0,"",Asset!R34))</f>
        <v/>
      </c>
      <c r="R145" s="272" t="str">
        <f>IF(ISERROR(Asset!S34),"",IF(Asset!S34=0,"",Asset!S34))</f>
        <v/>
      </c>
      <c r="S145" s="272" t="str">
        <f>IF(ISERROR(Asset!T34),"",IF(Asset!T34=0,"",Asset!T34))</f>
        <v/>
      </c>
      <c r="T145" s="272" t="str">
        <f>IF(ISERROR(Asset!U34),"",IF(Asset!U34=0,"",Asset!U34))</f>
        <v/>
      </c>
      <c r="U145" s="272" t="str">
        <f>IF(ISERROR(Asset!V34),"",IF(Asset!V34=0,"",Asset!V34))</f>
        <v/>
      </c>
      <c r="V145" s="623"/>
    </row>
    <row r="146" spans="1:22" s="297" customFormat="1" ht="14.25" hidden="1" customHeight="1" x14ac:dyDescent="0.25">
      <c r="A146" s="316" t="s">
        <v>404</v>
      </c>
      <c r="B146" s="273" t="str">
        <f>IF(ISERROR(B145/'Oper.St.'!C61*365),"",IF(B145/'Oper.St.'!C61*365=0,"",B145/'Oper.St.'!C61*365))</f>
        <v/>
      </c>
      <c r="C146" s="273" t="str">
        <f>IF(ISERROR(C145/'Oper.St.'!D61*365),"",IF(C145/'Oper.St.'!D61*365=0,"",C145/'Oper.St.'!D61*365))</f>
        <v/>
      </c>
      <c r="D146" s="273" t="str">
        <f>IF(ISERROR(D145/'Oper.St.'!E61*365),"",IF(D145/'Oper.St.'!E61*365=0,"",D145/'Oper.St.'!E61*365))</f>
        <v/>
      </c>
      <c r="E146" s="273" t="str">
        <f>IF(ISERROR(E145/'Oper.St.'!F61*365),"",IF(E145/'Oper.St.'!F61*365=0,"",E145/'Oper.St.'!F61*365))</f>
        <v/>
      </c>
      <c r="F146" s="273" t="str">
        <f>IF(ISERROR(F145/'Oper.St.'!G61*365),"",IF(F145/'Oper.St.'!G61*365=0,"",F145/'Oper.St.'!G61*365))</f>
        <v/>
      </c>
      <c r="G146" s="273" t="str">
        <f>IF(ISERROR(G145/'Oper.St.'!H61*365),"",IF(G145/'Oper.St.'!H61*365=0,"",G145/'Oper.St.'!H61*365))</f>
        <v/>
      </c>
      <c r="H146" s="273" t="str">
        <f>IF(ISERROR(H145/'Oper.St.'!I61*365),"",IF(H145/'Oper.St.'!I61*365=0,"",H145/'Oper.St.'!I61*365))</f>
        <v/>
      </c>
      <c r="I146" s="273" t="str">
        <f>IF(ISERROR(I145/'Oper.St.'!J61*365),"",IF(I145/'Oper.St.'!J61*365=0,"",I145/'Oper.St.'!J61*365))</f>
        <v/>
      </c>
      <c r="J146" s="273" t="str">
        <f>IF(ISERROR(J145/'Oper.St.'!K61*365),"",IF(J145/'Oper.St.'!K61*365=0,"",J145/'Oper.St.'!K61*365))</f>
        <v/>
      </c>
      <c r="K146" s="273" t="str">
        <f>IF(ISERROR(K145/'Oper.St.'!L61*365),"",IF(K145/'Oper.St.'!L61*365=0,"",K145/'Oper.St.'!L61*365))</f>
        <v/>
      </c>
      <c r="L146" s="273" t="str">
        <f>IF(ISERROR(L145/'Oper.St.'!M61*365),"",IF(L145/'Oper.St.'!M61*365=0,"",L145/'Oper.St.'!M61*365))</f>
        <v/>
      </c>
      <c r="M146" s="273" t="str">
        <f>IF(ISERROR(M145/'Oper.St.'!N61*365),"",IF(M145/'Oper.St.'!N61*365=0,"",M145/'Oper.St.'!N61*365))</f>
        <v/>
      </c>
      <c r="N146" s="273" t="str">
        <f>IF(ISERROR(N145/'Oper.St.'!O61*365),"",IF(N145/'Oper.St.'!O61*365=0,"",N145/'Oper.St.'!O61*365))</f>
        <v/>
      </c>
      <c r="O146" s="273" t="str">
        <f>IF(ISERROR(O145/'Oper.St.'!P61*365),"",IF(O145/'Oper.St.'!P61*365=0,"",O145/'Oper.St.'!P61*365))</f>
        <v/>
      </c>
      <c r="P146" s="273" t="str">
        <f>IF(ISERROR(P145/'Oper.St.'!Q61*365),"",IF(P145/'Oper.St.'!Q61*365=0,"",P145/'Oper.St.'!Q61*365))</f>
        <v/>
      </c>
      <c r="Q146" s="273" t="str">
        <f>IF(ISERROR(Q145/'Oper.St.'!R61*365),"",IF(Q145/'Oper.St.'!R61*365=0,"",Q145/'Oper.St.'!R61*365))</f>
        <v/>
      </c>
      <c r="R146" s="273" t="str">
        <f>IF(ISERROR(R145/'Oper.St.'!S61*365),"",IF(R145/'Oper.St.'!S61*365=0,"",R145/'Oper.St.'!S61*365))</f>
        <v/>
      </c>
      <c r="S146" s="273" t="str">
        <f>IF(ISERROR(S145/'Oper.St.'!T61*365),"",IF(S145/'Oper.St.'!T61*365=0,"",S145/'Oper.St.'!T61*365))</f>
        <v/>
      </c>
      <c r="T146" s="273" t="str">
        <f>IF(ISERROR(T145/'Oper.St.'!U61*365),"",IF(T145/'Oper.St.'!U61*365=0,"",T145/'Oper.St.'!U61*365))</f>
        <v/>
      </c>
      <c r="U146" s="273" t="str">
        <f>IF(ISERROR(U145/'Oper.St.'!V61*365),"",IF(U145/'Oper.St.'!V61*365=0,"",U145/'Oper.St.'!V61*365))</f>
        <v/>
      </c>
      <c r="V146" s="613"/>
    </row>
    <row r="147" spans="1:22" s="315" customFormat="1" ht="14.25" hidden="1" customHeight="1" x14ac:dyDescent="0.2">
      <c r="A147" s="314" t="s">
        <v>405</v>
      </c>
      <c r="B147" s="272" t="str">
        <f>IF(ISERROR(Asset!C35),"",IF(Asset!C35=0,"",Asset!C35))</f>
        <v/>
      </c>
      <c r="C147" s="272" t="str">
        <f>IF(ISERROR(Asset!D35),"",IF(Asset!D35=0,"",Asset!D35))</f>
        <v/>
      </c>
      <c r="D147" s="272" t="str">
        <f>IF(ISERROR(Asset!E35),"",IF(Asset!E35=0,"",Asset!E35))</f>
        <v/>
      </c>
      <c r="E147" s="272" t="str">
        <f>IF(ISERROR(Asset!F35),"",IF(Asset!F35=0,"",Asset!F35))</f>
        <v/>
      </c>
      <c r="F147" s="272">
        <f>IF(ISERROR(Asset!G35),"",IF(Asset!G35=0,"",Asset!G35))</f>
        <v>2</v>
      </c>
      <c r="G147" s="272">
        <f>IF(ISERROR(Asset!H35),"",IF(Asset!H35=0,"",Asset!H35))</f>
        <v>2.6</v>
      </c>
      <c r="H147" s="272">
        <f>IF(ISERROR(Asset!I35),"",IF(Asset!I35=0,"",Asset!I35))</f>
        <v>4</v>
      </c>
      <c r="I147" s="272">
        <f>IF(ISERROR(Asset!J35),"",IF(Asset!J35=0,"",Asset!J35))</f>
        <v>4.5</v>
      </c>
      <c r="J147" s="272">
        <f>IF(ISERROR(Asset!K35),"",IF(Asset!K35=0,"",Asset!K35))</f>
        <v>5</v>
      </c>
      <c r="K147" s="272">
        <f>IF(ISERROR(Asset!L35),"",IF(Asset!L35=0,"",Asset!L35))</f>
        <v>5.25</v>
      </c>
      <c r="L147" s="272">
        <f>IF(ISERROR(Asset!M35),"",IF(Asset!M35=0,"",Asset!M35))</f>
        <v>5.3</v>
      </c>
      <c r="M147" s="272" t="str">
        <f>IF(ISERROR(Asset!N35),"",IF(Asset!N35=0,"",Asset!N35))</f>
        <v/>
      </c>
      <c r="N147" s="272" t="str">
        <f>IF(ISERROR(Asset!O35),"",IF(Asset!O35=0,"",Asset!O35))</f>
        <v/>
      </c>
      <c r="O147" s="272" t="str">
        <f>IF(ISERROR(Asset!P35),"",IF(Asset!P35=0,"",Asset!P35))</f>
        <v/>
      </c>
      <c r="P147" s="272" t="str">
        <f>IF(ISERROR(Asset!Q35),"",IF(Asset!Q35=0,"",Asset!Q35))</f>
        <v/>
      </c>
      <c r="Q147" s="272" t="str">
        <f>IF(ISERROR(Asset!R35),"",IF(Asset!R35=0,"",Asset!R35))</f>
        <v/>
      </c>
      <c r="R147" s="272" t="str">
        <f>IF(ISERROR(Asset!S35),"",IF(Asset!S35=0,"",Asset!S35))</f>
        <v/>
      </c>
      <c r="S147" s="272" t="str">
        <f>IF(ISERROR(Asset!T35),"",IF(Asset!T35=0,"",Asset!T35))</f>
        <v/>
      </c>
      <c r="T147" s="272" t="str">
        <f>IF(ISERROR(Asset!U35),"",IF(Asset!U35=0,"",Asset!U35))</f>
        <v/>
      </c>
      <c r="U147" s="272" t="str">
        <f>IF(ISERROR(Asset!V35),"",IF(Asset!V35=0,"",Asset!V35))</f>
        <v/>
      </c>
      <c r="V147" s="623"/>
    </row>
    <row r="148" spans="1:22" s="297" customFormat="1" ht="14.25" hidden="1" customHeight="1" x14ac:dyDescent="0.25">
      <c r="A148" s="316" t="s">
        <v>415</v>
      </c>
      <c r="B148" s="273" t="str">
        <f>IF(ISERROR(B147/'Oper.St.'!C65*365),"",IF(B147/'Oper.St.'!C65*365=0,"",B147/'Oper.St.'!C65*365))</f>
        <v/>
      </c>
      <c r="C148" s="273" t="str">
        <f>IF(ISERROR(C147/'Oper.St.'!D65*365),"",IF(C147/'Oper.St.'!D65*365=0,"",C147/'Oper.St.'!D65*365))</f>
        <v/>
      </c>
      <c r="D148" s="273" t="str">
        <f>IF(ISERROR(D147/'Oper.St.'!E65*365),"",IF(D147/'Oper.St.'!E65*365=0,"",D147/'Oper.St.'!E65*365))</f>
        <v/>
      </c>
      <c r="E148" s="273" t="str">
        <f>IF(ISERROR(E147/'Oper.St.'!F65*365),"",IF(E147/'Oper.St.'!F65*365=0,"",E147/'Oper.St.'!F65*365))</f>
        <v/>
      </c>
      <c r="F148" s="273">
        <f>IF(ISERROR(F147/'Oper.St.'!G65*365),"",IF(F147/'Oper.St.'!G65*365=0,"",F147/'Oper.St.'!G65*365))</f>
        <v>61.551433389544691</v>
      </c>
      <c r="G148" s="273">
        <f>IF(ISERROR(G147/'Oper.St.'!H65*365),"",IF(G147/'Oper.St.'!H65*365=0,"",G147/'Oper.St.'!H65*365))</f>
        <v>41.477272727272734</v>
      </c>
      <c r="H148" s="273">
        <f>IF(ISERROR(H147/'Oper.St.'!I65*365),"",IF(H147/'Oper.St.'!I65*365=0,"",H147/'Oper.St.'!I65*365))</f>
        <v>53.362573099415201</v>
      </c>
      <c r="I148" s="273">
        <f>IF(ISERROR(I147/'Oper.St.'!J65*365),"",IF(I147/'Oper.St.'!J65*365=0,"",I147/'Oper.St.'!J65*365))</f>
        <v>55.154466084620552</v>
      </c>
      <c r="J148" s="273">
        <f>IF(ISERROR(J147/'Oper.St.'!K65*365),"",IF(J147/'Oper.St.'!K65*365=0,"",J147/'Oper.St.'!K65*365))</f>
        <v>56.536555142503097</v>
      </c>
      <c r="K148" s="273">
        <f>IF(ISERROR(K147/'Oper.St.'!L65*365),"",IF(K147/'Oper.St.'!L65*365=0,"",K147/'Oper.St.'!L65*365))</f>
        <v>55.112165660051765</v>
      </c>
      <c r="L148" s="273">
        <f>IF(ISERROR(L147/'Oper.St.'!M65*365),"",IF(L147/'Oper.St.'!M65*365=0,"",L147/'Oper.St.'!M65*365))</f>
        <v>52.114762931034477</v>
      </c>
      <c r="M148" s="273" t="str">
        <f>IF(ISERROR(M147/'Oper.St.'!N65*365),"",IF(M147/'Oper.St.'!N65*365=0,"",M147/'Oper.St.'!N65*365))</f>
        <v/>
      </c>
      <c r="N148" s="273" t="str">
        <f>IF(ISERROR(N147/'Oper.St.'!O65*365),"",IF(N147/'Oper.St.'!O65*365=0,"",N147/'Oper.St.'!O65*365))</f>
        <v/>
      </c>
      <c r="O148" s="273" t="str">
        <f>IF(ISERROR(O147/'Oper.St.'!P65*365),"",IF(O147/'Oper.St.'!P65*365=0,"",O147/'Oper.St.'!P65*365))</f>
        <v/>
      </c>
      <c r="P148" s="273" t="str">
        <f>IF(ISERROR(P147/'Oper.St.'!Q65*365),"",IF(P147/'Oper.St.'!Q65*365=0,"",P147/'Oper.St.'!Q65*365))</f>
        <v/>
      </c>
      <c r="Q148" s="273" t="str">
        <f>IF(ISERROR(Q147/'Oper.St.'!R65*365),"",IF(Q147/'Oper.St.'!R65*365=0,"",Q147/'Oper.St.'!R65*365))</f>
        <v/>
      </c>
      <c r="R148" s="273" t="str">
        <f>IF(ISERROR(R147/'Oper.St.'!S65*365),"",IF(R147/'Oper.St.'!S65*365=0,"",R147/'Oper.St.'!S65*365))</f>
        <v/>
      </c>
      <c r="S148" s="273" t="str">
        <f>IF(ISERROR(S147/'Oper.St.'!T65*365),"",IF(S147/'Oper.St.'!T65*365=0,"",S147/'Oper.St.'!T65*365))</f>
        <v/>
      </c>
      <c r="T148" s="273" t="str">
        <f>IF(ISERROR(T147/'Oper.St.'!U65*365),"",IF(T147/'Oper.St.'!U65*365=0,"",T147/'Oper.St.'!U65*365))</f>
        <v/>
      </c>
      <c r="U148" s="273" t="str">
        <f>IF(ISERROR(U147/'Oper.St.'!V65*365),"",IF(U147/'Oper.St.'!V65*365=0,"",U147/'Oper.St.'!V65*365))</f>
        <v/>
      </c>
      <c r="V148" s="613"/>
    </row>
    <row r="149" spans="1:22" s="315" customFormat="1" ht="14.25" hidden="1" customHeight="1" x14ac:dyDescent="0.2">
      <c r="A149" s="314" t="s">
        <v>411</v>
      </c>
      <c r="B149" s="272" t="str">
        <f>IF(ISERROR(Asset!C22+Asset!C76),"",IF(Asset!C22+Asset!C76=0,"",Asset!C22+Asset!C76))</f>
        <v/>
      </c>
      <c r="C149" s="272" t="str">
        <f>IF(ISERROR(Asset!D22+Asset!D76),"",IF(Asset!D22+Asset!D76=0,"",Asset!D22+Asset!D76))</f>
        <v/>
      </c>
      <c r="D149" s="272" t="str">
        <f>IF(ISERROR(Asset!E22+Asset!E76),"",IF(Asset!E22+Asset!E76=0,"",Asset!E22+Asset!E76))</f>
        <v/>
      </c>
      <c r="E149" s="272" t="str">
        <f>IF(ISERROR(Asset!F22+Asset!F76),"",IF(Asset!F22+Asset!F76=0,"",Asset!F22+Asset!F76))</f>
        <v/>
      </c>
      <c r="F149" s="272" t="str">
        <f>IF(ISERROR(Asset!G22+Asset!G76),"",IF(Asset!G22+Asset!G76=0,"",Asset!G22+Asset!G76))</f>
        <v/>
      </c>
      <c r="G149" s="272" t="str">
        <f>IF(ISERROR(Asset!H22+Asset!H76),"",IF(Asset!H22+Asset!H76=0,"",Asset!H22+Asset!H76))</f>
        <v/>
      </c>
      <c r="H149" s="272" t="str">
        <f>IF(ISERROR(Asset!I22+Asset!I76),"",IF(Asset!I22+Asset!I76=0,"",Asset!I22+Asset!I76))</f>
        <v/>
      </c>
      <c r="I149" s="272" t="str">
        <f>IF(ISERROR(Asset!J22+Asset!J76),"",IF(Asset!J22+Asset!J76=0,"",Asset!J22+Asset!J76))</f>
        <v/>
      </c>
      <c r="J149" s="272" t="str">
        <f>IF(ISERROR(Asset!K22+Asset!K76),"",IF(Asset!K22+Asset!K76=0,"",Asset!K22+Asset!K76))</f>
        <v/>
      </c>
      <c r="K149" s="272" t="str">
        <f>IF(ISERROR(Asset!L22+Asset!L76),"",IF(Asset!L22+Asset!L76=0,"",Asset!L22+Asset!L76))</f>
        <v/>
      </c>
      <c r="L149" s="272" t="str">
        <f>IF(ISERROR(Asset!M22+Asset!M76),"",IF(Asset!M22+Asset!M76=0,"",Asset!M22+Asset!M76))</f>
        <v/>
      </c>
      <c r="M149" s="272" t="str">
        <f>IF(ISERROR(Asset!N22+Asset!N76),"",IF(Asset!N22+Asset!N76=0,"",Asset!N22+Asset!N76))</f>
        <v/>
      </c>
      <c r="N149" s="272" t="str">
        <f>IF(ISERROR(Asset!O22+Asset!O76),"",IF(Asset!O22+Asset!O76=0,"",Asset!O22+Asset!O76))</f>
        <v/>
      </c>
      <c r="O149" s="272" t="str">
        <f>IF(ISERROR(Asset!P22+Asset!P76),"",IF(Asset!P22+Asset!P76=0,"",Asset!P22+Asset!P76))</f>
        <v/>
      </c>
      <c r="P149" s="272" t="str">
        <f>IF(ISERROR(Asset!Q22+Asset!Q76),"",IF(Asset!Q22+Asset!Q76=0,"",Asset!Q22+Asset!Q76))</f>
        <v/>
      </c>
      <c r="Q149" s="272" t="str">
        <f>IF(ISERROR(Asset!R22+Asset!R76),"",IF(Asset!R22+Asset!R76=0,"",Asset!R22+Asset!R76))</f>
        <v/>
      </c>
      <c r="R149" s="272" t="str">
        <f>IF(ISERROR(Asset!S22+Asset!S76),"",IF(Asset!S22+Asset!S76=0,"",Asset!S22+Asset!S76))</f>
        <v/>
      </c>
      <c r="S149" s="272" t="str">
        <f>IF(ISERROR(Asset!T22+Asset!T76),"",IF(Asset!T22+Asset!T76=0,"",Asset!T22+Asset!T76))</f>
        <v/>
      </c>
      <c r="T149" s="272" t="str">
        <f>IF(ISERROR(Asset!U22+Asset!U76),"",IF(Asset!U22+Asset!U76=0,"",Asset!U22+Asset!U76))</f>
        <v/>
      </c>
      <c r="U149" s="272" t="str">
        <f>IF(ISERROR(Asset!V22+Asset!V76),"",IF(Asset!V22+Asset!V76=0,"",Asset!V22+Asset!V76))</f>
        <v/>
      </c>
      <c r="V149" s="623"/>
    </row>
    <row r="150" spans="1:22" s="297" customFormat="1" ht="14.25" hidden="1" customHeight="1" x14ac:dyDescent="0.25">
      <c r="A150" s="316" t="s">
        <v>412</v>
      </c>
      <c r="B150" s="273" t="str">
        <f>IF(ISERROR(B149/'Oper.St.'!C14*365),"",IF(B149/'Oper.St.'!C14*365=0,"",B149/'Oper.St.'!C14*365))</f>
        <v/>
      </c>
      <c r="C150" s="273" t="str">
        <f>IF(ISERROR(C149/'Oper.St.'!D14*365),"",IF(C149/'Oper.St.'!D14*365=0,"",C149/'Oper.St.'!D14*365))</f>
        <v/>
      </c>
      <c r="D150" s="273" t="str">
        <f>IF(ISERROR(D149/'Oper.St.'!E14*365),"",IF(D149/'Oper.St.'!E14*365=0,"",D149/'Oper.St.'!E14*365))</f>
        <v/>
      </c>
      <c r="E150" s="273" t="str">
        <f>IF(ISERROR(E149/'Oper.St.'!F14*365),"",IF(E149/'Oper.St.'!F14*365=0,"",E149/'Oper.St.'!F14*365))</f>
        <v/>
      </c>
      <c r="F150" s="273" t="str">
        <f>IF(ISERROR(F149/'Oper.St.'!G14*365),"",IF(F149/'Oper.St.'!G14*365=0,"",F149/'Oper.St.'!G14*365))</f>
        <v/>
      </c>
      <c r="G150" s="273" t="str">
        <f>IF(ISERROR(G149/'Oper.St.'!H14*365),"",IF(G149/'Oper.St.'!H14*365=0,"",G149/'Oper.St.'!H14*365))</f>
        <v/>
      </c>
      <c r="H150" s="273" t="str">
        <f>IF(ISERROR(H149/'Oper.St.'!I14*365),"",IF(H149/'Oper.St.'!I14*365=0,"",H149/'Oper.St.'!I14*365))</f>
        <v/>
      </c>
      <c r="I150" s="273" t="str">
        <f>IF(ISERROR(I149/'Oper.St.'!J14*365),"",IF(I149/'Oper.St.'!J14*365=0,"",I149/'Oper.St.'!J14*365))</f>
        <v/>
      </c>
      <c r="J150" s="273" t="str">
        <f>IF(ISERROR(J149/'Oper.St.'!K14*365),"",IF(J149/'Oper.St.'!K14*365=0,"",J149/'Oper.St.'!K14*365))</f>
        <v/>
      </c>
      <c r="K150" s="273" t="str">
        <f>IF(ISERROR(K149/'Oper.St.'!L14*365),"",IF(K149/'Oper.St.'!L14*365=0,"",K149/'Oper.St.'!L14*365))</f>
        <v/>
      </c>
      <c r="L150" s="273" t="str">
        <f>IF(ISERROR(L149/'Oper.St.'!M14*365),"",IF(L149/'Oper.St.'!M14*365=0,"",L149/'Oper.St.'!M14*365))</f>
        <v/>
      </c>
      <c r="M150" s="273" t="str">
        <f>IF(ISERROR(M149/'Oper.St.'!N14*365),"",IF(M149/'Oper.St.'!N14*365=0,"",M149/'Oper.St.'!N14*365))</f>
        <v/>
      </c>
      <c r="N150" s="273" t="str">
        <f>IF(ISERROR(N149/'Oper.St.'!O14*365),"",IF(N149/'Oper.St.'!O14*365=0,"",N149/'Oper.St.'!O14*365))</f>
        <v/>
      </c>
      <c r="O150" s="273" t="str">
        <f>IF(ISERROR(O149/'Oper.St.'!P14*365),"",IF(O149/'Oper.St.'!P14*365=0,"",O149/'Oper.St.'!P14*365))</f>
        <v/>
      </c>
      <c r="P150" s="273" t="str">
        <f>IF(ISERROR(P149/'Oper.St.'!Q14*365),"",IF(P149/'Oper.St.'!Q14*365=0,"",P149/'Oper.St.'!Q14*365))</f>
        <v/>
      </c>
      <c r="Q150" s="273" t="str">
        <f>IF(ISERROR(Q149/'Oper.St.'!R14*365),"",IF(Q149/'Oper.St.'!R14*365=0,"",Q149/'Oper.St.'!R14*365))</f>
        <v/>
      </c>
      <c r="R150" s="273" t="str">
        <f>IF(ISERROR(R149/'Oper.St.'!S14*365),"",IF(R149/'Oper.St.'!S14*365=0,"",R149/'Oper.St.'!S14*365))</f>
        <v/>
      </c>
      <c r="S150" s="273" t="str">
        <f>IF(ISERROR(S149/'Oper.St.'!T14*365),"",IF(S149/'Oper.St.'!T14*365=0,"",S149/'Oper.St.'!T14*365))</f>
        <v/>
      </c>
      <c r="T150" s="273" t="str">
        <f>IF(ISERROR(T149/'Oper.St.'!U14*365),"",IF(T149/'Oper.St.'!U14*365=0,"",T149/'Oper.St.'!U14*365))</f>
        <v/>
      </c>
      <c r="U150" s="273" t="str">
        <f>IF(ISERROR(U149/'Oper.St.'!V14*365),"",IF(U149/'Oper.St.'!V14*365=0,"",U149/'Oper.St.'!V14*365))</f>
        <v/>
      </c>
      <c r="V150" s="613"/>
    </row>
    <row r="151" spans="1:22" s="315" customFormat="1" ht="14.25" hidden="1" customHeight="1" x14ac:dyDescent="0.2">
      <c r="A151" s="314" t="s">
        <v>413</v>
      </c>
      <c r="B151" s="272">
        <f>IF(ISERROR(Asset!C19+Asset!C75),"",IF(Asset!C19+Asset!C75=0,"",Asset!C19+Asset!C75))</f>
        <v>0.01</v>
      </c>
      <c r="C151" s="272">
        <f>IF(ISERROR(Asset!D19+Asset!D75),"",IF(Asset!D19+Asset!D75=0,"",Asset!D19+Asset!D75))</f>
        <v>0.1</v>
      </c>
      <c r="D151" s="272">
        <f>IF(ISERROR(Asset!E19+Asset!E75),"",IF(Asset!E19+Asset!E75=0,"",Asset!E19+Asset!E75))</f>
        <v>0.28999999999999998</v>
      </c>
      <c r="E151" s="272">
        <f>IF(ISERROR(Asset!F19+Asset!F75),"",IF(Asset!F19+Asset!F75=0,"",Asset!F19+Asset!F75))</f>
        <v>0.6</v>
      </c>
      <c r="F151" s="272">
        <f>IF(ISERROR(Asset!G19+Asset!G75),"",IF(Asset!G19+Asset!G75=0,"",Asset!G19+Asset!G75))</f>
        <v>2.5</v>
      </c>
      <c r="G151" s="272">
        <f>IF(ISERROR(Asset!H19+Asset!H75),"",IF(Asset!H19+Asset!H75=0,"",Asset!H19+Asset!H75))</f>
        <v>4.71</v>
      </c>
      <c r="H151" s="272">
        <f>IF(ISERROR(Asset!I19+Asset!I75),"",IF(Asset!I19+Asset!I75=0,"",Asset!I19+Asset!I75))</f>
        <v>5.57</v>
      </c>
      <c r="I151" s="272">
        <f>IF(ISERROR(Asset!J19+Asset!J75),"",IF(Asset!J19+Asset!J75=0,"",Asset!J19+Asset!J75))</f>
        <v>6</v>
      </c>
      <c r="J151" s="272">
        <f>IF(ISERROR(Asset!K19+Asset!K75),"",IF(Asset!K19+Asset!K75=0,"",Asset!K19+Asset!K75))</f>
        <v>6.43</v>
      </c>
      <c r="K151" s="272">
        <f>IF(ISERROR(Asset!L19+Asset!L75),"",IF(Asset!L19+Asset!L75=0,"",Asset!L19+Asset!L75))</f>
        <v>6.86</v>
      </c>
      <c r="L151" s="272">
        <f>IF(ISERROR(Asset!M19+Asset!M75),"",IF(Asset!M19+Asset!M75=0,"",Asset!M19+Asset!M75))</f>
        <v>7.28</v>
      </c>
      <c r="M151" s="272" t="str">
        <f>IF(ISERROR(Asset!N19+Asset!N75),"",IF(Asset!N19+Asset!N75=0,"",Asset!N19+Asset!N75))</f>
        <v/>
      </c>
      <c r="N151" s="272" t="str">
        <f>IF(ISERROR(Asset!O19+Asset!O75),"",IF(Asset!O19+Asset!O75=0,"",Asset!O19+Asset!O75))</f>
        <v/>
      </c>
      <c r="O151" s="272" t="str">
        <f>IF(ISERROR(Asset!P19+Asset!P75),"",IF(Asset!P19+Asset!P75=0,"",Asset!P19+Asset!P75))</f>
        <v/>
      </c>
      <c r="P151" s="272" t="str">
        <f>IF(ISERROR(Asset!Q19+Asset!Q75),"",IF(Asset!Q19+Asset!Q75=0,"",Asset!Q19+Asset!Q75))</f>
        <v/>
      </c>
      <c r="Q151" s="272" t="str">
        <f>IF(ISERROR(Asset!R19+Asset!R75),"",IF(Asset!R19+Asset!R75=0,"",Asset!R19+Asset!R75))</f>
        <v/>
      </c>
      <c r="R151" s="272" t="str">
        <f>IF(ISERROR(Asset!S19+Asset!S75),"",IF(Asset!S19+Asset!S75=0,"",Asset!S19+Asset!S75))</f>
        <v/>
      </c>
      <c r="S151" s="272" t="str">
        <f>IF(ISERROR(Asset!T19+Asset!T75),"",IF(Asset!T19+Asset!T75=0,"",Asset!T19+Asset!T75))</f>
        <v/>
      </c>
      <c r="T151" s="272" t="str">
        <f>IF(ISERROR(Asset!U19+Asset!U75),"",IF(Asset!U19+Asset!U75=0,"",Asset!U19+Asset!U75))</f>
        <v/>
      </c>
      <c r="U151" s="272" t="str">
        <f>IF(ISERROR(Asset!V19+Asset!V75),"",IF(Asset!V19+Asset!V75=0,"",Asset!V19+Asset!V75))</f>
        <v/>
      </c>
      <c r="V151" s="623"/>
    </row>
    <row r="152" spans="1:22" s="297" customFormat="1" ht="14.25" hidden="1" customHeight="1" x14ac:dyDescent="0.25">
      <c r="A152" s="316" t="s">
        <v>414</v>
      </c>
      <c r="B152" s="273" t="str">
        <f>IF(ISERROR(B151/'Oper.St.'!C13*365),"",IF(B151/'Oper.St.'!C13*365=0,"",B151/'Oper.St.'!C13*365))</f>
        <v/>
      </c>
      <c r="C152" s="273" t="str">
        <f>IF(ISERROR(C151/'Oper.St.'!D13*365),"",IF(C151/'Oper.St.'!D13*365=0,"",C151/'Oper.St.'!D13*365))</f>
        <v/>
      </c>
      <c r="D152" s="273" t="str">
        <f>IF(ISERROR(D151/'Oper.St.'!E13*365),"",IF(D151/'Oper.St.'!E13*365=0,"",D151/'Oper.St.'!E13*365))</f>
        <v/>
      </c>
      <c r="E152" s="273" t="str">
        <f>IF(ISERROR(E151/'Oper.St.'!F13*365),"",IF(E151/'Oper.St.'!F13*365=0,"",E151/'Oper.St.'!F13*365))</f>
        <v/>
      </c>
      <c r="F152" s="273">
        <f>IF(ISERROR(F151/'Oper.St.'!G13*365),"",IF(F151/'Oper.St.'!G13*365=0,"",F151/'Oper.St.'!G13*365))</f>
        <v>60.833333333333329</v>
      </c>
      <c r="G152" s="273">
        <f>IF(ISERROR(G151/'Oper.St.'!H13*365),"",IF(G151/'Oper.St.'!H13*365=0,"",G151/'Oper.St.'!H13*365))</f>
        <v>60.790311173974544</v>
      </c>
      <c r="H152" s="273">
        <f>IF(ISERROR(H151/'Oper.St.'!I13*365),"",IF(H151/'Oper.St.'!I13*365=0,"",H151/'Oper.St.'!I13*365))</f>
        <v>60.833333333333329</v>
      </c>
      <c r="I152" s="273">
        <f>IF(ISERROR(I151/'Oper.St.'!J13*365),"",IF(I151/'Oper.St.'!J13*365=0,"",I151/'Oper.St.'!J13*365))</f>
        <v>60.850236176715754</v>
      </c>
      <c r="J152" s="273">
        <f>IF(ISERROR(J151/'Oper.St.'!K13*365),"",IF(J151/'Oper.St.'!K13*365=0,"",J151/'Oper.St.'!K13*365))</f>
        <v>60.864885892116178</v>
      </c>
      <c r="K152" s="273">
        <f>IF(ISERROR(K151/'Oper.St.'!L13*365),"",IF(K151/'Oper.St.'!L13*365=0,"",K151/'Oper.St.'!L13*365))</f>
        <v>60.877704838317527</v>
      </c>
      <c r="L152" s="273">
        <f>IF(ISERROR(L151/'Oper.St.'!M13*365),"",IF(L151/'Oper.St.'!M13*365=0,"",L151/'Oper.St.'!M13*365))</f>
        <v>60.805491990846683</v>
      </c>
      <c r="M152" s="273" t="str">
        <f>IF(ISERROR(M151/'Oper.St.'!N13*365),"",IF(M151/'Oper.St.'!N13*365=0,"",M151/'Oper.St.'!N13*365))</f>
        <v/>
      </c>
      <c r="N152" s="273" t="str">
        <f>IF(ISERROR(N151/'Oper.St.'!O13*365),"",IF(N151/'Oper.St.'!O13*365=0,"",N151/'Oper.St.'!O13*365))</f>
        <v/>
      </c>
      <c r="O152" s="273" t="str">
        <f>IF(ISERROR(O151/'Oper.St.'!P13*365),"",IF(O151/'Oper.St.'!P13*365=0,"",O151/'Oper.St.'!P13*365))</f>
        <v/>
      </c>
      <c r="P152" s="273" t="str">
        <f>IF(ISERROR(P151/'Oper.St.'!Q13*365),"",IF(P151/'Oper.St.'!Q13*365=0,"",P151/'Oper.St.'!Q13*365))</f>
        <v/>
      </c>
      <c r="Q152" s="273" t="str">
        <f>IF(ISERROR(Q151/'Oper.St.'!R13*365),"",IF(Q151/'Oper.St.'!R13*365=0,"",Q151/'Oper.St.'!R13*365))</f>
        <v/>
      </c>
      <c r="R152" s="273" t="str">
        <f>IF(ISERROR(R151/'Oper.St.'!S13*365),"",IF(R151/'Oper.St.'!S13*365=0,"",R151/'Oper.St.'!S13*365))</f>
        <v/>
      </c>
      <c r="S152" s="273" t="str">
        <f>IF(ISERROR(S151/'Oper.St.'!T13*365),"",IF(S151/'Oper.St.'!T13*365=0,"",S151/'Oper.St.'!T13*365))</f>
        <v/>
      </c>
      <c r="T152" s="273" t="str">
        <f>IF(ISERROR(T151/'Oper.St.'!U13*365),"",IF(T151/'Oper.St.'!U13*365=0,"",T151/'Oper.St.'!U13*365))</f>
        <v/>
      </c>
      <c r="U152" s="273" t="str">
        <f>IF(ISERROR(U151/'Oper.St.'!V13*365),"",IF(U151/'Oper.St.'!V13*365=0,"",U151/'Oper.St.'!V13*365))</f>
        <v/>
      </c>
      <c r="V152" s="613"/>
    </row>
    <row r="153" spans="1:22" s="315" customFormat="1" ht="14.25" hidden="1" customHeight="1" x14ac:dyDescent="0.2">
      <c r="A153" s="314" t="s">
        <v>416</v>
      </c>
      <c r="B153" s="272" t="str">
        <f>IF(ISERROR(Liab!C24),"",IF(Liab!C24=0,"",Liab!C24))</f>
        <v/>
      </c>
      <c r="C153" s="272">
        <f>IF(ISERROR(Liab!D24),"",IF(Liab!D24=0,"",Liab!D24))</f>
        <v>0.02</v>
      </c>
      <c r="D153" s="272">
        <f>IF(ISERROR(Liab!E24),"",IF(Liab!E24=0,"",Liab!E24))</f>
        <v>0.26</v>
      </c>
      <c r="E153" s="272">
        <f>IF(ISERROR(Liab!F24),"",IF(Liab!F24=0,"",Liab!F24))</f>
        <v>0.3</v>
      </c>
      <c r="F153" s="272">
        <f>IF(ISERROR(Liab!G24),"",IF(Liab!G24=0,"",Liab!G24))</f>
        <v>0.2</v>
      </c>
      <c r="G153" s="272">
        <f>IF(ISERROR(Liab!H24),"",IF(Liab!H24=0,"",Liab!H24))</f>
        <v>1.5</v>
      </c>
      <c r="H153" s="272">
        <f>IF(ISERROR(Liab!I24),"",IF(Liab!I24=0,"",Liab!I24))</f>
        <v>1.5</v>
      </c>
      <c r="I153" s="272">
        <f>IF(ISERROR(Liab!J24),"",IF(Liab!J24=0,"",Liab!J24))</f>
        <v>1</v>
      </c>
      <c r="J153" s="272">
        <f>IF(ISERROR(Liab!K24),"",IF(Liab!K24=0,"",Liab!K24))</f>
        <v>0.75</v>
      </c>
      <c r="K153" s="272">
        <f>IF(ISERROR(Liab!L24),"",IF(Liab!L24=0,"",Liab!L24))</f>
        <v>0.5</v>
      </c>
      <c r="L153" s="272">
        <f>IF(ISERROR(Liab!M24),"",IF(Liab!M24=0,"",Liab!M24))</f>
        <v>0.25</v>
      </c>
      <c r="M153" s="272" t="str">
        <f>IF(ISERROR(Liab!N24),"",IF(Liab!N24=0,"",Liab!N24))</f>
        <v/>
      </c>
      <c r="N153" s="272" t="str">
        <f>IF(ISERROR(Liab!O24),"",IF(Liab!O24=0,"",Liab!O24))</f>
        <v/>
      </c>
      <c r="O153" s="272" t="str">
        <f>IF(ISERROR(Liab!P24),"",IF(Liab!P24=0,"",Liab!P24))</f>
        <v/>
      </c>
      <c r="P153" s="272" t="str">
        <f>IF(ISERROR(Liab!Q24),"",IF(Liab!Q24=0,"",Liab!Q24))</f>
        <v/>
      </c>
      <c r="Q153" s="272" t="str">
        <f>IF(ISERROR(Liab!R24),"",IF(Liab!R24=0,"",Liab!R24))</f>
        <v/>
      </c>
      <c r="R153" s="272" t="str">
        <f>IF(ISERROR(Liab!S24),"",IF(Liab!S24=0,"",Liab!S24))</f>
        <v/>
      </c>
      <c r="S153" s="272" t="str">
        <f>IF(ISERROR(Liab!T24),"",IF(Liab!T24=0,"",Liab!T24))</f>
        <v/>
      </c>
      <c r="T153" s="272" t="str">
        <f>IF(ISERROR(Liab!U24),"",IF(Liab!U24=0,"",Liab!U24))</f>
        <v/>
      </c>
      <c r="U153" s="272" t="str">
        <f>IF(ISERROR(Liab!V24),"",IF(Liab!V24=0,"",Liab!V24))</f>
        <v/>
      </c>
      <c r="V153" s="623"/>
    </row>
    <row r="154" spans="1:22" s="297" customFormat="1" ht="14.25" hidden="1" customHeight="1" x14ac:dyDescent="0.25">
      <c r="A154" s="316" t="s">
        <v>417</v>
      </c>
      <c r="B154" s="273" t="str">
        <f>IF(ISERROR(B153/('Oper.St.'!C34+'Oper.St.'!C38)*365),"",IF(B153/('Oper.St.'!C34+'Oper.St.'!C38)*365=0,"",B153/('Oper.St.'!C34+'Oper.St.'!C38)*365))</f>
        <v/>
      </c>
      <c r="C154" s="273" t="str">
        <f>IF(ISERROR(C153/('Oper.St.'!D34+'Oper.St.'!D38)*365),"",IF(C153/('Oper.St.'!D34+'Oper.St.'!D38)*365=0,"",C153/('Oper.St.'!D34+'Oper.St.'!D38)*365))</f>
        <v/>
      </c>
      <c r="D154" s="273" t="str">
        <f>IF(ISERROR(D153/('Oper.St.'!E34+'Oper.St.'!E38)*365),"",IF(D153/('Oper.St.'!E34+'Oper.St.'!E38)*365=0,"",D153/('Oper.St.'!E34+'Oper.St.'!E38)*365))</f>
        <v/>
      </c>
      <c r="E154" s="273" t="str">
        <f>IF(ISERROR(E153/('Oper.St.'!F34+'Oper.St.'!F38)*365),"",IF(E153/('Oper.St.'!F34+'Oper.St.'!F38)*365=0,"",E153/('Oper.St.'!F34+'Oper.St.'!F38)*365))</f>
        <v/>
      </c>
      <c r="F154" s="273">
        <f>IF(ISERROR(F153/('Oper.St.'!G34+'Oper.St.'!G38)*365),"",IF(F153/('Oper.St.'!G34+'Oper.St.'!G38)*365=0,"",F153/('Oper.St.'!G34+'Oper.St.'!G38)*365))</f>
        <v>8.5480093676814999</v>
      </c>
      <c r="G154" s="273">
        <f>IF(ISERROR(G153/('Oper.St.'!H34+'Oper.St.'!H38)*365),"",IF(G153/('Oper.St.'!H34+'Oper.St.'!H38)*365=0,"",G153/('Oper.St.'!H34+'Oper.St.'!H38)*365))</f>
        <v>39.303661162957646</v>
      </c>
      <c r="H154" s="273">
        <f>IF(ISERROR(H153/('Oper.St.'!I34+'Oper.St.'!I38)*365),"",IF(H153/('Oper.St.'!I34+'Oper.St.'!I38)*365=0,"",H153/('Oper.St.'!I34+'Oper.St.'!I38)*365))</f>
        <v>30</v>
      </c>
      <c r="I154" s="273">
        <f>IF(ISERROR(I153/('Oper.St.'!J34+'Oper.St.'!J38)*365),"",IF(I153/('Oper.St.'!J34+'Oper.St.'!J38)*365=0,"",I153/('Oper.St.'!J34+'Oper.St.'!J38)*365))</f>
        <v>18.814432989690722</v>
      </c>
      <c r="J154" s="273">
        <f>IF(ISERROR(J153/('Oper.St.'!K34+'Oper.St.'!K38)*365),"",IF(J153/('Oper.St.'!K34+'Oper.St.'!K38)*365=0,"",J153/('Oper.St.'!K34+'Oper.St.'!K38)*365))</f>
        <v>12.732558139534884</v>
      </c>
      <c r="K154" s="273">
        <f>IF(ISERROR(K153/('Oper.St.'!L34+'Oper.St.'!L38)*365),"",IF(K153/('Oper.St.'!L34+'Oper.St.'!L38)*365=0,"",K153/('Oper.St.'!L34+'Oper.St.'!L38)*365))</f>
        <v>7.8326180257510734</v>
      </c>
      <c r="L154" s="273">
        <f>IF(ISERROR(L153/('Oper.St.'!M34+'Oper.St.'!M38)*365),"",IF(L153/('Oper.St.'!M34+'Oper.St.'!M38)*365=0,"",L153/('Oper.St.'!M34+'Oper.St.'!M38)*365))</f>
        <v>3.65</v>
      </c>
      <c r="M154" s="273" t="str">
        <f>IF(ISERROR(M153/('Oper.St.'!N34+'Oper.St.'!N38)*365),"",IF(M153/('Oper.St.'!N34+'Oper.St.'!N38)*365=0,"",M153/('Oper.St.'!N34+'Oper.St.'!N38)*365))</f>
        <v/>
      </c>
      <c r="N154" s="273" t="str">
        <f>IF(ISERROR(N153/('Oper.St.'!O34+'Oper.St.'!O38)*365),"",IF(N153/('Oper.St.'!O34+'Oper.St.'!O38)*365=0,"",N153/('Oper.St.'!O34+'Oper.St.'!O38)*365))</f>
        <v/>
      </c>
      <c r="O154" s="273" t="str">
        <f>IF(ISERROR(O153/('Oper.St.'!P34+'Oper.St.'!P38)*365),"",IF(O153/('Oper.St.'!P34+'Oper.St.'!P38)*365=0,"",O153/('Oper.St.'!P34+'Oper.St.'!P38)*365))</f>
        <v/>
      </c>
      <c r="P154" s="273" t="str">
        <f>IF(ISERROR(P153/('Oper.St.'!Q34+'Oper.St.'!Q38)*365),"",IF(P153/('Oper.St.'!Q34+'Oper.St.'!Q38)*365=0,"",P153/('Oper.St.'!Q34+'Oper.St.'!Q38)*365))</f>
        <v/>
      </c>
      <c r="Q154" s="273" t="str">
        <f>IF(ISERROR(Q153/('Oper.St.'!R34+'Oper.St.'!R38)*365),"",IF(Q153/('Oper.St.'!R34+'Oper.St.'!R38)*365=0,"",Q153/('Oper.St.'!R34+'Oper.St.'!R38)*365))</f>
        <v/>
      </c>
      <c r="R154" s="273" t="str">
        <f>IF(ISERROR(R153/('Oper.St.'!S34+'Oper.St.'!S38)*365),"",IF(R153/('Oper.St.'!S34+'Oper.St.'!S38)*365=0,"",R153/('Oper.St.'!S34+'Oper.St.'!S38)*365))</f>
        <v/>
      </c>
      <c r="S154" s="273" t="str">
        <f>IF(ISERROR(S153/('Oper.St.'!T34+'Oper.St.'!T38)*365),"",IF(S153/('Oper.St.'!T34+'Oper.St.'!T38)*365=0,"",S153/('Oper.St.'!T34+'Oper.St.'!T38)*365))</f>
        <v/>
      </c>
      <c r="T154" s="273" t="str">
        <f>IF(ISERROR(T153/('Oper.St.'!U34+'Oper.St.'!U38)*365),"",IF(T153/('Oper.St.'!U34+'Oper.St.'!U38)*365=0,"",T153/('Oper.St.'!U34+'Oper.St.'!U38)*365))</f>
        <v/>
      </c>
      <c r="U154" s="273" t="str">
        <f>IF(ISERROR(U153/('Oper.St.'!V34+'Oper.St.'!V38)*365),"",IF(U153/('Oper.St.'!V34+'Oper.St.'!V38)*365=0,"",U153/('Oper.St.'!V34+'Oper.St.'!V38)*365))</f>
        <v/>
      </c>
      <c r="V154" s="613"/>
    </row>
    <row r="155" spans="1:22" s="315" customFormat="1" ht="14.25" hidden="1" customHeight="1" x14ac:dyDescent="0.2">
      <c r="A155" s="314" t="s">
        <v>406</v>
      </c>
      <c r="B155" s="272">
        <f>IF(ISERROR(Asset!C12+Asset!C17+Asset!C39+Asset!C42+Asset!C45+SUM(Asset!C47:C49)),"",IF(Asset!C12+Asset!C17+Asset!C39+Asset!C42+Asset!C45+SUM(Asset!C47:C49)=0,"",Asset!C12+Asset!C17+Asset!C39+Asset!C42+Asset!C45+SUM(Asset!C47:C49)))</f>
        <v>0.2</v>
      </c>
      <c r="C155" s="272">
        <f>IF(ISERROR(Asset!D12+Asset!D17+Asset!D39+Asset!D42+Asset!D45+SUM(Asset!D47:D49)),"",IF(Asset!D12+Asset!D17+Asset!D39+Asset!D42+Asset!D45+SUM(Asset!D47:D49)=0,"",Asset!D12+Asset!D17+Asset!D39+Asset!D42+Asset!D45+SUM(Asset!D47:D49)))</f>
        <v>0.27</v>
      </c>
      <c r="D155" s="272">
        <f>IF(ISERROR(Asset!E12+Asset!E17+Asset!E39+Asset!E42+Asset!E45+SUM(Asset!E47:E49)),"",IF(Asset!E12+Asset!E17+Asset!E39+Asset!E42+Asset!E45+SUM(Asset!E47:E49)=0,"",Asset!E12+Asset!E17+Asset!E39+Asset!E42+Asset!E45+SUM(Asset!E47:E49)))</f>
        <v>0.4</v>
      </c>
      <c r="E155" s="272">
        <f>IF(ISERROR(Asset!F12+Asset!F17+Asset!F39+Asset!F42+Asset!F45+SUM(Asset!F47:F49)),"",IF(Asset!F12+Asset!F17+Asset!F39+Asset!F42+Asset!F45+SUM(Asset!F47:F49)=0,"",Asset!F12+Asset!F17+Asset!F39+Asset!F42+Asset!F45+SUM(Asset!F47:F49)))</f>
        <v>0.47</v>
      </c>
      <c r="F155" s="272">
        <f>IF(ISERROR(Asset!G12+Asset!G17+Asset!G39+Asset!G42+Asset!G45+SUM(Asset!G47:G49)),"",IF(Asset!G12+Asset!G17+Asset!G39+Asset!G42+Asset!G45+SUM(Asset!G47:G49)=0,"",Asset!G12+Asset!G17+Asset!G39+Asset!G42+Asset!G45+SUM(Asset!G47:G49)))</f>
        <v>1.86</v>
      </c>
      <c r="G155" s="272">
        <f>IF(ISERROR(Asset!H12+Asset!H17+Asset!H39+Asset!H42+Asset!H45+SUM(Asset!H47:H49)),"",IF(Asset!H12+Asset!H17+Asset!H39+Asset!H42+Asset!H45+SUM(Asset!H47:H49)=0,"",Asset!H12+Asset!H17+Asset!H39+Asset!H42+Asset!H45+SUM(Asset!H47:H49)))</f>
        <v>2.2349131250000007</v>
      </c>
      <c r="H155" s="272">
        <f>IF(ISERROR(Asset!I12+Asset!I17+Asset!I39+Asset!I42+Asset!I45+SUM(Asset!I47:I49)),"",IF(Asset!I12+Asset!I17+Asset!I39+Asset!I42+Asset!I45+SUM(Asset!I47:I49)=0,"",Asset!I12+Asset!I17+Asset!I39+Asset!I42+Asset!I45+SUM(Asset!I47:I49)))</f>
        <v>2.5230957500000004</v>
      </c>
      <c r="I155" s="272">
        <f>IF(ISERROR(Asset!J12+Asset!J17+Asset!J39+Asset!J42+Asset!J45+SUM(Asset!J47:J49)),"",IF(Asset!J12+Asset!J17+Asset!J39+Asset!J42+Asset!J45+SUM(Asset!J47:J49)=0,"",Asset!J12+Asset!J17+Asset!J39+Asset!J42+Asset!J45+SUM(Asset!J47:J49)))</f>
        <v>3.0755551875</v>
      </c>
      <c r="J155" s="272">
        <f>IF(ISERROR(Asset!K12+Asset!K17+Asset!K39+Asset!K42+Asset!K45+SUM(Asset!K47:K49)),"",IF(Asset!K12+Asset!K17+Asset!K39+Asset!K42+Asset!K45+SUM(Asset!K47:K49)=0,"",Asset!K12+Asset!K17+Asset!K39+Asset!K42+Asset!K45+SUM(Asset!K47:K49)))</f>
        <v>3.4832041249999985</v>
      </c>
      <c r="K155" s="272">
        <f>IF(ISERROR(Asset!L12+Asset!L17+Asset!L39+Asset!L42+Asset!L45+SUM(Asset!L47:L49)),"",IF(Asset!L12+Asset!L17+Asset!L39+Asset!L42+Asset!L45+SUM(Asset!L47:L49)=0,"",Asset!L12+Asset!L17+Asset!L39+Asset!L42+Asset!L45+SUM(Asset!L47:L49)))</f>
        <v>3.8930587500000002</v>
      </c>
      <c r="L155" s="272">
        <f>IF(ISERROR(Asset!M12+Asset!M17+Asset!M39+Asset!M42+Asset!M45+SUM(Asset!M47:M49)),"",IF(Asset!M12+Asset!M17+Asset!M39+Asset!M42+Asset!M45+SUM(Asset!M47:M49)=0,"",Asset!M12+Asset!M17+Asset!M39+Asset!M42+Asset!M45+SUM(Asset!M47:M49)))</f>
        <v>4.1194078124999995</v>
      </c>
      <c r="M155" s="272" t="str">
        <f>IF(ISERROR(Asset!N12+Asset!N17+Asset!N39+Asset!N42+Asset!N45+SUM(Asset!N47:N49)),"",IF(Asset!N12+Asset!N17+Asset!N39+Asset!N42+Asset!N45+SUM(Asset!N47:N49)=0,"",Asset!N12+Asset!N17+Asset!N39+Asset!N42+Asset!N45+SUM(Asset!N47:N49)))</f>
        <v/>
      </c>
      <c r="N155" s="272" t="str">
        <f>IF(ISERROR(Asset!O12+Asset!O17+Asset!O39+Asset!O42+Asset!O45+SUM(Asset!O47:O49)),"",IF(Asset!O12+Asset!O17+Asset!O39+Asset!O42+Asset!O45+SUM(Asset!O47:O49)=0,"",Asset!O12+Asset!O17+Asset!O39+Asset!O42+Asset!O45+SUM(Asset!O47:O49)))</f>
        <v/>
      </c>
      <c r="O155" s="272" t="str">
        <f>IF(ISERROR(Asset!P12+Asset!P17+Asset!P39+Asset!P42+Asset!P45+SUM(Asset!P47:P49)),"",IF(Asset!P12+Asset!P17+Asset!P39+Asset!P42+Asset!P45+SUM(Asset!P47:P49)=0,"",Asset!P12+Asset!P17+Asset!P39+Asset!P42+Asset!P45+SUM(Asset!P47:P49)))</f>
        <v/>
      </c>
      <c r="P155" s="272" t="str">
        <f>IF(ISERROR(Asset!Q12+Asset!Q17+Asset!Q39+Asset!Q42+Asset!Q45+SUM(Asset!Q47:Q49)),"",IF(Asset!Q12+Asset!Q17+Asset!Q39+Asset!Q42+Asset!Q45+SUM(Asset!Q47:Q49)=0,"",Asset!Q12+Asset!Q17+Asset!Q39+Asset!Q42+Asset!Q45+SUM(Asset!Q47:Q49)))</f>
        <v/>
      </c>
      <c r="Q155" s="272" t="str">
        <f>IF(ISERROR(Asset!R12+Asset!R17+Asset!R39+Asset!R42+Asset!R45+SUM(Asset!R47:R49)),"",IF(Asset!R12+Asset!R17+Asset!R39+Asset!R42+Asset!R45+SUM(Asset!R47:R49)=0,"",Asset!R12+Asset!R17+Asset!R39+Asset!R42+Asset!R45+SUM(Asset!R47:R49)))</f>
        <v/>
      </c>
      <c r="R155" s="272" t="str">
        <f>IF(ISERROR(Asset!S12+Asset!S17+Asset!S39+Asset!S42+Asset!S45+SUM(Asset!S47:S49)),"",IF(Asset!S12+Asset!S17+Asset!S39+Asset!S42+Asset!S45+SUM(Asset!S47:S49)=0,"",Asset!S12+Asset!S17+Asset!S39+Asset!S42+Asset!S45+SUM(Asset!S47:S49)))</f>
        <v/>
      </c>
      <c r="S155" s="272" t="str">
        <f>IF(ISERROR(Asset!T12+Asset!T17+Asset!T39+Asset!T42+Asset!T45+SUM(Asset!T47:T49)),"",IF(Asset!T12+Asset!T17+Asset!T39+Asset!T42+Asset!T45+SUM(Asset!T47:T49)=0,"",Asset!T12+Asset!T17+Asset!T39+Asset!T42+Asset!T45+SUM(Asset!T47:T49)))</f>
        <v/>
      </c>
      <c r="T155" s="272" t="str">
        <f>IF(ISERROR(Asset!U12+Asset!U17+Asset!U39+Asset!U42+Asset!U45+SUM(Asset!U47:U49)),"",IF(Asset!U12+Asset!U17+Asset!U39+Asset!U42+Asset!U45+SUM(Asset!U47:U49)=0,"",Asset!U12+Asset!U17+Asset!U39+Asset!U42+Asset!U45+SUM(Asset!U47:U49)))</f>
        <v/>
      </c>
      <c r="U155" s="272" t="str">
        <f>IF(ISERROR(Asset!V12+Asset!V17+Asset!V39+Asset!V42+Asset!V45+SUM(Asset!V47:V49)),"",IF(Asset!V12+Asset!V17+Asset!V39+Asset!V42+Asset!V45+SUM(Asset!V47:V49)=0,"",Asset!V12+Asset!V17+Asset!V39+Asset!V42+Asset!V45+SUM(Asset!V47:V49)))</f>
        <v/>
      </c>
      <c r="V155" s="623"/>
    </row>
    <row r="156" spans="1:22" ht="14.25" hidden="1" customHeight="1" x14ac:dyDescent="0.2">
      <c r="A156" s="257"/>
      <c r="B156" s="255"/>
      <c r="C156" s="255"/>
      <c r="D156" s="255"/>
      <c r="E156" s="255"/>
      <c r="F156" s="255"/>
      <c r="G156" s="255"/>
      <c r="H156" s="255"/>
      <c r="I156" s="255"/>
      <c r="J156" s="255"/>
      <c r="K156" s="255"/>
      <c r="L156" s="255"/>
      <c r="M156" s="255"/>
      <c r="N156" s="255"/>
      <c r="O156" s="255"/>
      <c r="P156" s="255"/>
      <c r="Q156" s="255"/>
      <c r="R156" s="255"/>
      <c r="S156" s="255"/>
      <c r="T156" s="255"/>
      <c r="U156" s="255"/>
      <c r="V156" s="612"/>
    </row>
    <row r="157" spans="1:22" ht="17.25" hidden="1" customHeight="1" x14ac:dyDescent="0.25">
      <c r="A157" s="259" t="s">
        <v>466</v>
      </c>
      <c r="B157" s="255"/>
      <c r="C157" s="255"/>
      <c r="D157" s="255"/>
      <c r="E157" s="255"/>
      <c r="F157" s="255"/>
      <c r="G157" s="255"/>
      <c r="H157" s="255"/>
      <c r="I157" s="255"/>
      <c r="J157" s="255"/>
      <c r="K157" s="255"/>
      <c r="L157" s="255"/>
      <c r="M157" s="255"/>
      <c r="N157" s="255"/>
      <c r="O157" s="255"/>
      <c r="P157" s="255"/>
      <c r="Q157" s="255"/>
      <c r="R157" s="255"/>
      <c r="S157" s="255"/>
      <c r="T157" s="255"/>
      <c r="U157" s="255"/>
      <c r="V157" s="612"/>
    </row>
    <row r="158" spans="1:22" s="297" customFormat="1" ht="12.75" hidden="1" customHeight="1" x14ac:dyDescent="0.25">
      <c r="A158" s="296"/>
      <c r="B158" s="261">
        <f>B3</f>
        <v>2020</v>
      </c>
      <c r="C158" s="261">
        <f>C3</f>
        <v>2021</v>
      </c>
      <c r="D158" s="261">
        <f t="shared" ref="D158:U158" si="45">D3</f>
        <v>2022</v>
      </c>
      <c r="E158" s="261">
        <f t="shared" si="45"/>
        <v>2023</v>
      </c>
      <c r="F158" s="261">
        <f t="shared" si="45"/>
        <v>2024</v>
      </c>
      <c r="G158" s="261">
        <f t="shared" si="45"/>
        <v>2025</v>
      </c>
      <c r="H158" s="261">
        <f t="shared" si="45"/>
        <v>2026</v>
      </c>
      <c r="I158" s="261">
        <f t="shared" si="45"/>
        <v>2027</v>
      </c>
      <c r="J158" s="261">
        <f t="shared" si="45"/>
        <v>2028</v>
      </c>
      <c r="K158" s="261">
        <f t="shared" si="45"/>
        <v>2029</v>
      </c>
      <c r="L158" s="261">
        <f t="shared" si="45"/>
        <v>2030</v>
      </c>
      <c r="M158" s="261">
        <f t="shared" si="45"/>
        <v>2031</v>
      </c>
      <c r="N158" s="261">
        <f t="shared" si="45"/>
        <v>2032</v>
      </c>
      <c r="O158" s="261">
        <f t="shared" si="45"/>
        <v>2033</v>
      </c>
      <c r="P158" s="261">
        <f t="shared" si="45"/>
        <v>2034</v>
      </c>
      <c r="Q158" s="261">
        <f t="shared" si="45"/>
        <v>2035</v>
      </c>
      <c r="R158" s="261">
        <f t="shared" si="45"/>
        <v>2036</v>
      </c>
      <c r="S158" s="261">
        <f t="shared" si="45"/>
        <v>2037</v>
      </c>
      <c r="T158" s="261">
        <f t="shared" si="45"/>
        <v>2038</v>
      </c>
      <c r="U158" s="261">
        <f t="shared" si="45"/>
        <v>2039</v>
      </c>
      <c r="V158" s="613"/>
    </row>
    <row r="159" spans="1:22" s="297" customFormat="1" ht="12.75" hidden="1" customHeight="1" x14ac:dyDescent="0.25">
      <c r="A159" s="296"/>
      <c r="B159" s="261" t="str">
        <f>B140</f>
        <v>AUD.</v>
      </c>
      <c r="C159" s="261" t="str">
        <f>C140</f>
        <v>AUD.</v>
      </c>
      <c r="D159" s="261" t="str">
        <f t="shared" ref="D159:U159" si="46">D140</f>
        <v>AUD.</v>
      </c>
      <c r="E159" s="261" t="str">
        <f t="shared" si="46"/>
        <v>EST.</v>
      </c>
      <c r="F159" s="261" t="str">
        <f t="shared" si="46"/>
        <v>PROJ.</v>
      </c>
      <c r="G159" s="261" t="str">
        <f t="shared" si="46"/>
        <v>PROJ.</v>
      </c>
      <c r="H159" s="261" t="str">
        <f t="shared" si="46"/>
        <v>PROJ.</v>
      </c>
      <c r="I159" s="261" t="str">
        <f t="shared" si="46"/>
        <v>PROJ.</v>
      </c>
      <c r="J159" s="261" t="str">
        <f t="shared" si="46"/>
        <v>PROJ.</v>
      </c>
      <c r="K159" s="261" t="str">
        <f t="shared" si="46"/>
        <v>PROJ.</v>
      </c>
      <c r="L159" s="261" t="str">
        <f t="shared" si="46"/>
        <v>PROJ.</v>
      </c>
      <c r="M159" s="261" t="str">
        <f t="shared" si="46"/>
        <v>PROJ.</v>
      </c>
      <c r="N159" s="261" t="str">
        <f t="shared" si="46"/>
        <v>PROJ.</v>
      </c>
      <c r="O159" s="261" t="str">
        <f t="shared" si="46"/>
        <v>PROJ.</v>
      </c>
      <c r="P159" s="261" t="str">
        <f t="shared" si="46"/>
        <v>PROJ.</v>
      </c>
      <c r="Q159" s="261" t="str">
        <f t="shared" si="46"/>
        <v>PROJ.</v>
      </c>
      <c r="R159" s="261" t="str">
        <f t="shared" si="46"/>
        <v>PROJ.</v>
      </c>
      <c r="S159" s="261" t="str">
        <f t="shared" si="46"/>
        <v>PROJ.</v>
      </c>
      <c r="T159" s="261" t="str">
        <f t="shared" si="46"/>
        <v>PROJ.</v>
      </c>
      <c r="U159" s="261" t="str">
        <f t="shared" si="46"/>
        <v>PROJ.</v>
      </c>
      <c r="V159" s="613"/>
    </row>
    <row r="160" spans="1:22" ht="14.25" hidden="1" customHeight="1" x14ac:dyDescent="0.2">
      <c r="A160" s="287" t="s">
        <v>418</v>
      </c>
      <c r="B160" s="256">
        <f>IF(ISERROR(Asset!C51),"",IF(Asset!C51=0,"",Asset!C51))</f>
        <v>0.21000000000000002</v>
      </c>
      <c r="C160" s="256">
        <f>IF(ISERROR(Asset!D51),"",IF(Asset!D51=0,"",Asset!D51))</f>
        <v>0.37000000000000005</v>
      </c>
      <c r="D160" s="256">
        <f>IF(ISERROR(Asset!E51),"",IF(Asset!E51=0,"",Asset!E51))</f>
        <v>0.69</v>
      </c>
      <c r="E160" s="256">
        <f>IF(ISERROR(Asset!F51),"",IF(Asset!F51=0,"",Asset!F51))</f>
        <v>1.0699999999999998</v>
      </c>
      <c r="F160" s="256">
        <f>IF(ISERROR(Asset!G51),"",IF(Asset!G51=0,"",Asset!G51))</f>
        <v>6.3599999999999994</v>
      </c>
      <c r="G160" s="256">
        <f>IF(ISERROR(Asset!H51),"",IF(Asset!H51=0,"",Asset!H51))</f>
        <v>9.5449131250000008</v>
      </c>
      <c r="H160" s="256">
        <f>IF(ISERROR(Asset!I51),"",IF(Asset!I51=0,"",Asset!I51))</f>
        <v>12.09309575</v>
      </c>
      <c r="I160" s="256">
        <f>IF(ISERROR(Asset!J51),"",IF(Asset!J51=0,"",Asset!J51))</f>
        <v>13.575555187500001</v>
      </c>
      <c r="J160" s="256">
        <f>IF(ISERROR(Asset!K51),"",IF(Asset!K51=0,"",Asset!K51))</f>
        <v>14.913204124999998</v>
      </c>
      <c r="K160" s="256">
        <f>IF(ISERROR(Asset!L51),"",IF(Asset!L51=0,"",Asset!L51))</f>
        <v>16.003058750000001</v>
      </c>
      <c r="L160" s="256">
        <f>IF(ISERROR(Asset!M51),"",IF(Asset!M51=0,"",Asset!M51))</f>
        <v>16.699407812500002</v>
      </c>
      <c r="M160" s="256" t="str">
        <f>IF(ISERROR(Asset!N51),"",IF(Asset!N51=0,"",Asset!N51))</f>
        <v/>
      </c>
      <c r="N160" s="256" t="str">
        <f>IF(ISERROR(Asset!O51),"",IF(Asset!O51=0,"",Asset!O51))</f>
        <v/>
      </c>
      <c r="O160" s="256" t="str">
        <f>IF(ISERROR(Asset!P51),"",IF(Asset!P51=0,"",Asset!P51))</f>
        <v/>
      </c>
      <c r="P160" s="256" t="str">
        <f>IF(ISERROR(Asset!Q51),"",IF(Asset!Q51=0,"",Asset!Q51))</f>
        <v/>
      </c>
      <c r="Q160" s="256" t="str">
        <f>IF(ISERROR(Asset!R51),"",IF(Asset!R51=0,"",Asset!R51))</f>
        <v/>
      </c>
      <c r="R160" s="256" t="str">
        <f>IF(ISERROR(Asset!S51),"",IF(Asset!S51=0,"",Asset!S51))</f>
        <v/>
      </c>
      <c r="S160" s="256" t="str">
        <f>IF(ISERROR(Asset!T51),"",IF(Asset!T51=0,"",Asset!T51))</f>
        <v/>
      </c>
      <c r="T160" s="256" t="str">
        <f>IF(ISERROR(Asset!U51),"",IF(Asset!U51=0,"",Asset!U51))</f>
        <v/>
      </c>
      <c r="U160" s="256" t="str">
        <f>IF(ISERROR(Asset!V51),"",IF(Asset!V51=0,"",Asset!V51))</f>
        <v/>
      </c>
      <c r="V160" s="612"/>
    </row>
    <row r="161" spans="1:22" ht="14.25" hidden="1" customHeight="1" x14ac:dyDescent="0.2">
      <c r="A161" s="287" t="s">
        <v>419</v>
      </c>
      <c r="B161" s="256">
        <f>IF(ISERROR(Liab!C45),"",IF(Liab!C45=0,"",Liab!C45))</f>
        <v>0.16</v>
      </c>
      <c r="C161" s="256">
        <f>IF(ISERROR(Liab!D45),"",IF(Liab!D45=0,"",Liab!D45))</f>
        <v>0.15</v>
      </c>
      <c r="D161" s="256">
        <f>IF(ISERROR(Liab!E45),"",IF(Liab!E45=0,"",Liab!E45))</f>
        <v>1.2500000000000002</v>
      </c>
      <c r="E161" s="256">
        <f>IF(ISERROR(Liab!F45),"",IF(Liab!F45=0,"",Liab!F45))</f>
        <v>1.6829999999999998</v>
      </c>
      <c r="F161" s="256">
        <f>IF(ISERROR(Liab!G45),"",IF(Liab!G45=0,"",Liab!G45))</f>
        <v>2.64</v>
      </c>
      <c r="G161" s="256">
        <f>IF(ISERROR(Liab!H45),"",IF(Liab!H45=0,"",Liab!H45))</f>
        <v>3.5932175000000011</v>
      </c>
      <c r="H161" s="256">
        <f>IF(ISERROR(Liab!I45),"",IF(Liab!I45=0,"",Liab!I45))</f>
        <v>4.1474609999999998</v>
      </c>
      <c r="I161" s="256">
        <f>IF(ISERROR(Liab!J45),"",IF(Liab!J45=0,"",Liab!J45))</f>
        <v>4.0707402500000001</v>
      </c>
      <c r="J161" s="256">
        <f>IF(ISERROR(Liab!K45),"",IF(Liab!K45=0,"",Liab!K45))</f>
        <v>4.1476054999999983</v>
      </c>
      <c r="K161" s="256">
        <f>IF(ISERROR(Liab!L45),"",IF(Liab!L45=0,"",Liab!L45))</f>
        <v>4.5907450000000001</v>
      </c>
      <c r="L161" s="256">
        <f>IF(ISERROR(Liab!M45),"",IF(Liab!M45=0,"",Liab!M45))</f>
        <v>1.4925437499999994</v>
      </c>
      <c r="M161" s="256" t="str">
        <f>IF(ISERROR(Liab!N45),"",IF(Liab!N45=0,"",Liab!N45))</f>
        <v/>
      </c>
      <c r="N161" s="256" t="str">
        <f>IF(ISERROR(Liab!O45),"",IF(Liab!O45=0,"",Liab!O45))</f>
        <v/>
      </c>
      <c r="O161" s="256" t="str">
        <f>IF(ISERROR(Liab!P45),"",IF(Liab!P45=0,"",Liab!P45))</f>
        <v/>
      </c>
      <c r="P161" s="256" t="str">
        <f>IF(ISERROR(Liab!Q45),"",IF(Liab!Q45=0,"",Liab!Q45))</f>
        <v/>
      </c>
      <c r="Q161" s="256" t="str">
        <f>IF(ISERROR(Liab!R45),"",IF(Liab!R45=0,"",Liab!R45))</f>
        <v/>
      </c>
      <c r="R161" s="256" t="str">
        <f>IF(ISERROR(Liab!S45),"",IF(Liab!S45=0,"",Liab!S45))</f>
        <v/>
      </c>
      <c r="S161" s="256" t="str">
        <f>IF(ISERROR(Liab!T45),"",IF(Liab!T45=0,"",Liab!T45))</f>
        <v/>
      </c>
      <c r="T161" s="256" t="str">
        <f>IF(ISERROR(Liab!U45),"",IF(Liab!U45=0,"",Liab!U45))</f>
        <v/>
      </c>
      <c r="U161" s="256" t="str">
        <f>IF(ISERROR(Liab!V45),"",IF(Liab!V45=0,"",Liab!V45))</f>
        <v/>
      </c>
      <c r="V161" s="612"/>
    </row>
    <row r="162" spans="1:22" ht="14.25" hidden="1" customHeight="1" x14ac:dyDescent="0.2">
      <c r="A162" s="287" t="s">
        <v>420</v>
      </c>
      <c r="B162" s="256">
        <f>IF(ISERROR(B160-B161),"",IF(B160-B161=0,"",B160-B161))</f>
        <v>5.0000000000000017E-2</v>
      </c>
      <c r="C162" s="256">
        <f>IF(ISERROR(C160-C161),"",IF(C160-C161=0,"",C160-C161))</f>
        <v>0.22000000000000006</v>
      </c>
      <c r="D162" s="256">
        <f t="shared" ref="D162:U162" si="47">IF(ISERROR(D160-D161),"",IF(D160-D161=0,"",D160-D161))</f>
        <v>-0.56000000000000028</v>
      </c>
      <c r="E162" s="256">
        <f t="shared" si="47"/>
        <v>-0.61299999999999999</v>
      </c>
      <c r="F162" s="256">
        <f t="shared" si="47"/>
        <v>3.7199999999999993</v>
      </c>
      <c r="G162" s="256">
        <f t="shared" si="47"/>
        <v>5.9516956249999993</v>
      </c>
      <c r="H162" s="256">
        <f t="shared" si="47"/>
        <v>7.94563475</v>
      </c>
      <c r="I162" s="256">
        <f t="shared" si="47"/>
        <v>9.5048149375000008</v>
      </c>
      <c r="J162" s="256">
        <f t="shared" si="47"/>
        <v>10.765598624999999</v>
      </c>
      <c r="K162" s="256">
        <f t="shared" si="47"/>
        <v>11.412313750000001</v>
      </c>
      <c r="L162" s="256">
        <f t="shared" si="47"/>
        <v>15.206864062500003</v>
      </c>
      <c r="M162" s="256" t="str">
        <f t="shared" si="47"/>
        <v/>
      </c>
      <c r="N162" s="256" t="str">
        <f t="shared" si="47"/>
        <v/>
      </c>
      <c r="O162" s="256" t="str">
        <f t="shared" si="47"/>
        <v/>
      </c>
      <c r="P162" s="256" t="str">
        <f t="shared" si="47"/>
        <v/>
      </c>
      <c r="Q162" s="256" t="str">
        <f t="shared" si="47"/>
        <v/>
      </c>
      <c r="R162" s="256" t="str">
        <f t="shared" si="47"/>
        <v/>
      </c>
      <c r="S162" s="256" t="str">
        <f t="shared" si="47"/>
        <v/>
      </c>
      <c r="T162" s="256" t="str">
        <f t="shared" si="47"/>
        <v/>
      </c>
      <c r="U162" s="256" t="str">
        <f t="shared" si="47"/>
        <v/>
      </c>
      <c r="V162" s="612"/>
    </row>
    <row r="163" spans="1:22" ht="14.25" hidden="1" customHeight="1" x14ac:dyDescent="0.2">
      <c r="A163" s="287" t="s">
        <v>22</v>
      </c>
      <c r="B163" s="256">
        <f>IF(ISERROR(B162-B164),"",IF(B162-B164=0,"",B162-B164))</f>
        <v>5.0000000000000017E-2</v>
      </c>
      <c r="C163" s="256">
        <f>IF(ISERROR(C162-C164),"",IF(C162-C164=0,"",C162-C164))</f>
        <v>0.22000000000000006</v>
      </c>
      <c r="D163" s="256">
        <f t="shared" ref="D163:U163" si="48">IF(ISERROR(D162-D164),"",IF(D162-D164=0,"",D162-D164))</f>
        <v>-0.56000000000000028</v>
      </c>
      <c r="E163" s="256">
        <f t="shared" si="48"/>
        <v>-0.61299999999999999</v>
      </c>
      <c r="F163" s="256">
        <f t="shared" si="48"/>
        <v>1.7199999999999993</v>
      </c>
      <c r="G163" s="256">
        <f t="shared" si="48"/>
        <v>3.9516956249999993</v>
      </c>
      <c r="H163" s="256">
        <f t="shared" si="48"/>
        <v>5.94563475</v>
      </c>
      <c r="I163" s="256">
        <f t="shared" si="48"/>
        <v>7.5048149375000008</v>
      </c>
      <c r="J163" s="256">
        <f t="shared" si="48"/>
        <v>8.7655986249999991</v>
      </c>
      <c r="K163" s="256">
        <f t="shared" si="48"/>
        <v>9.4123137500000009</v>
      </c>
      <c r="L163" s="256">
        <f t="shared" si="48"/>
        <v>13.206864062500003</v>
      </c>
      <c r="M163" s="256" t="str">
        <f t="shared" si="48"/>
        <v/>
      </c>
      <c r="N163" s="256" t="str">
        <f t="shared" si="48"/>
        <v/>
      </c>
      <c r="O163" s="256" t="str">
        <f t="shared" si="48"/>
        <v/>
      </c>
      <c r="P163" s="256" t="str">
        <f t="shared" si="48"/>
        <v/>
      </c>
      <c r="Q163" s="256" t="str">
        <f t="shared" si="48"/>
        <v/>
      </c>
      <c r="R163" s="256" t="str">
        <f t="shared" si="48"/>
        <v/>
      </c>
      <c r="S163" s="256" t="str">
        <f t="shared" si="48"/>
        <v/>
      </c>
      <c r="T163" s="256" t="str">
        <f t="shared" si="48"/>
        <v/>
      </c>
      <c r="U163" s="256" t="str">
        <f t="shared" si="48"/>
        <v/>
      </c>
      <c r="V163" s="612"/>
    </row>
    <row r="164" spans="1:22" ht="14.25" hidden="1" customHeight="1" x14ac:dyDescent="0.2">
      <c r="A164" s="287" t="s">
        <v>421</v>
      </c>
      <c r="B164" s="256">
        <f>IF(ISERROR(Liab!C20),"",Liab!C20)</f>
        <v>0</v>
      </c>
      <c r="C164" s="256">
        <f>IF(ISERROR(Liab!D20),"",Liab!D20)</f>
        <v>0</v>
      </c>
      <c r="D164" s="256">
        <f>IF(ISERROR(Liab!E20),"",Liab!E20)</f>
        <v>0</v>
      </c>
      <c r="E164" s="256">
        <f>IF(ISERROR(Liab!F20),"",Liab!F20)</f>
        <v>0</v>
      </c>
      <c r="F164" s="256">
        <f>IF(ISERROR(Liab!G20),"",Liab!G20)</f>
        <v>2</v>
      </c>
      <c r="G164" s="256">
        <f>IF(ISERROR(Liab!H20),"",Liab!H20)</f>
        <v>2</v>
      </c>
      <c r="H164" s="256">
        <f>IF(ISERROR(Liab!I20),"",Liab!I20)</f>
        <v>2</v>
      </c>
      <c r="I164" s="256">
        <f>IF(ISERROR(Liab!J20),"",Liab!J20)</f>
        <v>2</v>
      </c>
      <c r="J164" s="256">
        <f>IF(ISERROR(Liab!K20),"",Liab!K20)</f>
        <v>2</v>
      </c>
      <c r="K164" s="256">
        <f>IF(ISERROR(Liab!L20),"",Liab!L20)</f>
        <v>2</v>
      </c>
      <c r="L164" s="256">
        <f>IF(ISERROR(Liab!M20),"",Liab!M20)</f>
        <v>2</v>
      </c>
      <c r="M164" s="256">
        <f>IF(ISERROR(Liab!N20),"",Liab!N20)</f>
        <v>0</v>
      </c>
      <c r="N164" s="256">
        <f>IF(ISERROR(Liab!O20),"",Liab!O20)</f>
        <v>0</v>
      </c>
      <c r="O164" s="256">
        <f>IF(ISERROR(Liab!P20),"",Liab!P20)</f>
        <v>0</v>
      </c>
      <c r="P164" s="256">
        <f>IF(ISERROR(Liab!Q20),"",Liab!Q20)</f>
        <v>0</v>
      </c>
      <c r="Q164" s="256">
        <f>IF(ISERROR(Liab!R20),"",Liab!R20)</f>
        <v>0</v>
      </c>
      <c r="R164" s="256">
        <f>IF(ISERROR(Liab!S20),"",Liab!S20)</f>
        <v>0</v>
      </c>
      <c r="S164" s="256">
        <f>IF(ISERROR(Liab!T20),"",Liab!T20)</f>
        <v>0</v>
      </c>
      <c r="T164" s="256">
        <f>IF(ISERROR(Liab!U20),"",Liab!U20)</f>
        <v>0</v>
      </c>
      <c r="U164" s="256">
        <f>IF(ISERROR(Liab!V20),"",Liab!V20)</f>
        <v>0</v>
      </c>
      <c r="V164" s="612"/>
    </row>
    <row r="165" spans="1:22" ht="14.25" hidden="1" customHeight="1" x14ac:dyDescent="0.2">
      <c r="A165" s="287" t="s">
        <v>422</v>
      </c>
      <c r="B165" s="271">
        <f>IF(ISERROR(B163/B160),"",IF(B163/B160=0,"",B163/B160))</f>
        <v>0.23809523809523817</v>
      </c>
      <c r="C165" s="271">
        <f>IF(ISERROR(C163/C160),"",IF(C163/C160=0,"",C163/C160))</f>
        <v>0.59459459459459463</v>
      </c>
      <c r="D165" s="271">
        <f t="shared" ref="D165:U165" si="49">IF(ISERROR(D163/D160),"",IF(D163/D160=0,"",D163/D160))</f>
        <v>-0.81159420289855122</v>
      </c>
      <c r="E165" s="271">
        <f t="shared" si="49"/>
        <v>-0.57289719626168234</v>
      </c>
      <c r="F165" s="271">
        <f t="shared" si="49"/>
        <v>0.27044025157232698</v>
      </c>
      <c r="G165" s="271">
        <f t="shared" si="49"/>
        <v>0.41401064349655869</v>
      </c>
      <c r="H165" s="271">
        <f t="shared" si="49"/>
        <v>0.49165531084131209</v>
      </c>
      <c r="I165" s="271">
        <f t="shared" si="49"/>
        <v>0.55281827032829045</v>
      </c>
      <c r="J165" s="271">
        <f t="shared" si="49"/>
        <v>0.58777433417582226</v>
      </c>
      <c r="K165" s="271">
        <f t="shared" si="49"/>
        <v>0.58815717026596559</v>
      </c>
      <c r="L165" s="271">
        <f t="shared" si="49"/>
        <v>0.79085822747644219</v>
      </c>
      <c r="M165" s="271" t="str">
        <f t="shared" si="49"/>
        <v/>
      </c>
      <c r="N165" s="271" t="str">
        <f t="shared" si="49"/>
        <v/>
      </c>
      <c r="O165" s="271" t="str">
        <f t="shared" si="49"/>
        <v/>
      </c>
      <c r="P165" s="271" t="str">
        <f t="shared" si="49"/>
        <v/>
      </c>
      <c r="Q165" s="271" t="str">
        <f t="shared" si="49"/>
        <v/>
      </c>
      <c r="R165" s="271" t="str">
        <f t="shared" si="49"/>
        <v/>
      </c>
      <c r="S165" s="271" t="str">
        <f t="shared" si="49"/>
        <v/>
      </c>
      <c r="T165" s="271" t="str">
        <f t="shared" si="49"/>
        <v/>
      </c>
      <c r="U165" s="271" t="str">
        <f t="shared" si="49"/>
        <v/>
      </c>
      <c r="V165" s="612"/>
    </row>
    <row r="166" spans="1:22" ht="14.25" hidden="1" customHeight="1" x14ac:dyDescent="0.2">
      <c r="A166" s="287" t="s">
        <v>423</v>
      </c>
      <c r="B166" s="271" t="str">
        <f>IF(ISERROR(B164/B160),"",IF(B164/B160=0,"",B164/B160))</f>
        <v/>
      </c>
      <c r="C166" s="271" t="str">
        <f>IF(ISERROR(C164/C160),"",IF(C164/C160=0,"",C164/C160))</f>
        <v/>
      </c>
      <c r="D166" s="271" t="str">
        <f t="shared" ref="D166:U166" si="50">IF(ISERROR(D164/D160),"",IF(D164/D160=0,"",D164/D160))</f>
        <v/>
      </c>
      <c r="E166" s="271" t="str">
        <f t="shared" si="50"/>
        <v/>
      </c>
      <c r="F166" s="271">
        <f t="shared" si="50"/>
        <v>0.31446540880503149</v>
      </c>
      <c r="G166" s="271">
        <f t="shared" si="50"/>
        <v>0.20953569443828748</v>
      </c>
      <c r="H166" s="271">
        <f t="shared" si="50"/>
        <v>0.16538362395749659</v>
      </c>
      <c r="I166" s="271">
        <f t="shared" si="50"/>
        <v>0.14732362488140044</v>
      </c>
      <c r="J166" s="271">
        <f t="shared" si="50"/>
        <v>0.13410934251528595</v>
      </c>
      <c r="K166" s="271">
        <f t="shared" si="50"/>
        <v>0.12497610808308754</v>
      </c>
      <c r="L166" s="271">
        <f t="shared" si="50"/>
        <v>0.1197647259385414</v>
      </c>
      <c r="M166" s="271" t="str">
        <f t="shared" si="50"/>
        <v/>
      </c>
      <c r="N166" s="271" t="str">
        <f t="shared" si="50"/>
        <v/>
      </c>
      <c r="O166" s="271" t="str">
        <f t="shared" si="50"/>
        <v/>
      </c>
      <c r="P166" s="271" t="str">
        <f t="shared" si="50"/>
        <v/>
      </c>
      <c r="Q166" s="271" t="str">
        <f t="shared" si="50"/>
        <v/>
      </c>
      <c r="R166" s="271" t="str">
        <f t="shared" si="50"/>
        <v/>
      </c>
      <c r="S166" s="271" t="str">
        <f t="shared" si="50"/>
        <v/>
      </c>
      <c r="T166" s="271" t="str">
        <f t="shared" si="50"/>
        <v/>
      </c>
      <c r="U166" s="271" t="str">
        <f t="shared" si="50"/>
        <v/>
      </c>
      <c r="V166" s="612"/>
    </row>
    <row r="167" spans="1:22" ht="14.25" hidden="1" customHeight="1" x14ac:dyDescent="0.2">
      <c r="A167" s="287" t="s">
        <v>426</v>
      </c>
      <c r="B167" s="271">
        <f>IF(ISERROR(B161/B160),"",IF(B161/B160=0,"",B161/B160))</f>
        <v>0.76190476190476186</v>
      </c>
      <c r="C167" s="271">
        <f>IF(ISERROR(C161/C160),"",IF(C161/C160=0,"",C161/C160))</f>
        <v>0.40540540540540532</v>
      </c>
      <c r="D167" s="271">
        <f t="shared" ref="D167:U167" si="51">IF(ISERROR(D161/D160),"",IF(D161/D160=0,"",D161/D160))</f>
        <v>1.8115942028985512</v>
      </c>
      <c r="E167" s="271">
        <f t="shared" si="51"/>
        <v>1.5728971962616822</v>
      </c>
      <c r="F167" s="271">
        <f t="shared" si="51"/>
        <v>0.41509433962264158</v>
      </c>
      <c r="G167" s="271">
        <f t="shared" si="51"/>
        <v>0.37645366206515374</v>
      </c>
      <c r="H167" s="271">
        <f t="shared" si="51"/>
        <v>0.34296106520119135</v>
      </c>
      <c r="I167" s="271">
        <f t="shared" si="51"/>
        <v>0.29985810479030911</v>
      </c>
      <c r="J167" s="271">
        <f t="shared" si="51"/>
        <v>0.2781163233088918</v>
      </c>
      <c r="K167" s="271">
        <f t="shared" si="51"/>
        <v>0.2868667216509469</v>
      </c>
      <c r="L167" s="271">
        <f t="shared" si="51"/>
        <v>8.9377046585016398E-2</v>
      </c>
      <c r="M167" s="271" t="str">
        <f t="shared" si="51"/>
        <v/>
      </c>
      <c r="N167" s="271" t="str">
        <f t="shared" si="51"/>
        <v/>
      </c>
      <c r="O167" s="271" t="str">
        <f t="shared" si="51"/>
        <v/>
      </c>
      <c r="P167" s="271" t="str">
        <f t="shared" si="51"/>
        <v/>
      </c>
      <c r="Q167" s="271" t="str">
        <f t="shared" si="51"/>
        <v/>
      </c>
      <c r="R167" s="271" t="str">
        <f t="shared" si="51"/>
        <v/>
      </c>
      <c r="S167" s="271" t="str">
        <f t="shared" si="51"/>
        <v/>
      </c>
      <c r="T167" s="271" t="str">
        <f t="shared" si="51"/>
        <v/>
      </c>
      <c r="U167" s="271" t="str">
        <f t="shared" si="51"/>
        <v/>
      </c>
      <c r="V167" s="612"/>
    </row>
    <row r="168" spans="1:22" ht="14.25" hidden="1" customHeight="1" x14ac:dyDescent="0.2">
      <c r="A168" s="287" t="s">
        <v>424</v>
      </c>
      <c r="B168" s="271">
        <f>IF(ISERROR(B155/B160),"",IF(B155/B160=0,"",B155/B160))</f>
        <v>0.95238095238095233</v>
      </c>
      <c r="C168" s="271">
        <f>IF(ISERROR(C155/C160),"",IF(C155/C160=0,"",C155/C160))</f>
        <v>0.72972972972972971</v>
      </c>
      <c r="D168" s="271">
        <f t="shared" ref="D168:U168" si="52">IF(ISERROR(D155/D160),"",IF(D155/D160=0,"",D155/D160))</f>
        <v>0.57971014492753636</v>
      </c>
      <c r="E168" s="271">
        <f t="shared" si="52"/>
        <v>0.43925233644859818</v>
      </c>
      <c r="F168" s="271">
        <f t="shared" si="52"/>
        <v>0.29245283018867929</v>
      </c>
      <c r="G168" s="271">
        <f t="shared" si="52"/>
        <v>0.23414703682805918</v>
      </c>
      <c r="H168" s="271">
        <f t="shared" si="52"/>
        <v>0.20863935936337893</v>
      </c>
      <c r="I168" s="271">
        <f t="shared" si="52"/>
        <v>0.2265509693726476</v>
      </c>
      <c r="J168" s="271">
        <f t="shared" si="52"/>
        <v>0.23356510752514084</v>
      </c>
      <c r="K168" s="271">
        <f t="shared" si="52"/>
        <v>0.24326966555690485</v>
      </c>
      <c r="L168" s="271">
        <f t="shared" si="52"/>
        <v>0.24667987384657439</v>
      </c>
      <c r="M168" s="271" t="str">
        <f t="shared" si="52"/>
        <v/>
      </c>
      <c r="N168" s="271" t="str">
        <f t="shared" si="52"/>
        <v/>
      </c>
      <c r="O168" s="271" t="str">
        <f t="shared" si="52"/>
        <v/>
      </c>
      <c r="P168" s="271" t="str">
        <f t="shared" si="52"/>
        <v/>
      </c>
      <c r="Q168" s="271" t="str">
        <f t="shared" si="52"/>
        <v/>
      </c>
      <c r="R168" s="271" t="str">
        <f t="shared" si="52"/>
        <v/>
      </c>
      <c r="S168" s="271" t="str">
        <f t="shared" si="52"/>
        <v/>
      </c>
      <c r="T168" s="271" t="str">
        <f t="shared" si="52"/>
        <v/>
      </c>
      <c r="U168" s="271" t="str">
        <f t="shared" si="52"/>
        <v/>
      </c>
      <c r="V168" s="612"/>
    </row>
    <row r="169" spans="1:22" ht="14.25" hidden="1" customHeight="1" x14ac:dyDescent="0.2">
      <c r="A169" s="287" t="s">
        <v>425</v>
      </c>
      <c r="B169" s="274" t="str">
        <f>IF(ISERROR(B170/Liab!C24),"",IF(B170/Liab!C24=0,"",B170/Liab!C24))</f>
        <v/>
      </c>
      <c r="C169" s="274" t="str">
        <f>IF(ISERROR(C170/Liab!D24),"",IF(C170/Liab!D24=0,"",C170/Liab!D24))</f>
        <v/>
      </c>
      <c r="D169" s="274" t="str">
        <f>IF(ISERROR(D170/Liab!E24),"",IF(D170/Liab!E24=0,"",D170/Liab!E24))</f>
        <v/>
      </c>
      <c r="E169" s="274" t="str">
        <f>IF(ISERROR(E170/Liab!F24),"",IF(E170/Liab!F24=0,"",E170/Liab!F24))</f>
        <v/>
      </c>
      <c r="F169" s="274" t="str">
        <f>IF(ISERROR(F170/Liab!G24),"",IF(F170/Liab!G24=0,"",F170/Liab!G24))</f>
        <v/>
      </c>
      <c r="G169" s="274" t="str">
        <f>IF(ISERROR(G170/Liab!H24),"",IF(G170/Liab!H24=0,"",G170/Liab!H24))</f>
        <v/>
      </c>
      <c r="H169" s="274" t="str">
        <f>IF(ISERROR(H170/Liab!I24),"",IF(H170/Liab!I24=0,"",H170/Liab!I24))</f>
        <v/>
      </c>
      <c r="I169" s="274" t="str">
        <f>IF(ISERROR(I170/Liab!J24),"",IF(I170/Liab!J24=0,"",I170/Liab!J24))</f>
        <v/>
      </c>
      <c r="J169" s="274" t="str">
        <f>IF(ISERROR(J170/Liab!K24),"",IF(J170/Liab!K24=0,"",J170/Liab!K24))</f>
        <v/>
      </c>
      <c r="K169" s="274" t="str">
        <f>IF(ISERROR(K170/Liab!L24),"",IF(K170/Liab!L24=0,"",K170/Liab!L24))</f>
        <v/>
      </c>
      <c r="L169" s="274" t="str">
        <f>IF(ISERROR(L170/Liab!M24),"",IF(L170/Liab!M24=0,"",L170/Liab!M24))</f>
        <v/>
      </c>
      <c r="M169" s="274" t="str">
        <f>IF(ISERROR(M170/Liab!N24),"",IF(M170/Liab!N24=0,"",M170/Liab!N24))</f>
        <v/>
      </c>
      <c r="N169" s="274" t="str">
        <f>IF(ISERROR(N170/Liab!O24),"",IF(N170/Liab!O24=0,"",N170/Liab!O24))</f>
        <v/>
      </c>
      <c r="O169" s="274" t="str">
        <f>IF(ISERROR(O170/Liab!P24),"",IF(O170/Liab!P24=0,"",O170/Liab!P24))</f>
        <v/>
      </c>
      <c r="P169" s="274" t="str">
        <f>IF(ISERROR(P170/Liab!Q24),"",IF(P170/Liab!Q24=0,"",P170/Liab!Q24))</f>
        <v/>
      </c>
      <c r="Q169" s="274" t="str">
        <f>IF(ISERROR(Q170/Liab!R24),"",IF(Q170/Liab!R24=0,"",Q170/Liab!R24))</f>
        <v/>
      </c>
      <c r="R169" s="274" t="str">
        <f>IF(ISERROR(R170/Liab!S24),"",IF(R170/Liab!S24=0,"",R170/Liab!S24))</f>
        <v/>
      </c>
      <c r="S169" s="274" t="str">
        <f>IF(ISERROR(S170/Liab!T24),"",IF(S170/Liab!T24=0,"",S170/Liab!T24))</f>
        <v/>
      </c>
      <c r="T169" s="274" t="str">
        <f>IF(ISERROR(T170/Liab!U24),"",IF(T170/Liab!U24=0,"",T170/Liab!U24))</f>
        <v/>
      </c>
      <c r="U169" s="274" t="str">
        <f>IF(ISERROR(U170/Liab!V24),"",IF(U170/Liab!V24=0,"",U170/Liab!V24))</f>
        <v/>
      </c>
      <c r="V169" s="612"/>
    </row>
    <row r="170" spans="1:22" ht="14.25" hidden="1" customHeight="1" x14ac:dyDescent="0.2">
      <c r="A170" s="287" t="s">
        <v>556</v>
      </c>
      <c r="B170" s="317"/>
      <c r="C170" s="317"/>
      <c r="D170" s="317"/>
      <c r="E170" s="317"/>
      <c r="F170" s="317"/>
      <c r="G170" s="317"/>
      <c r="H170" s="317"/>
      <c r="I170" s="317"/>
      <c r="J170" s="317"/>
      <c r="K170" s="317"/>
      <c r="L170" s="317"/>
      <c r="M170" s="317"/>
      <c r="N170" s="317"/>
      <c r="O170" s="317"/>
      <c r="P170" s="317"/>
      <c r="Q170" s="317"/>
      <c r="R170" s="317"/>
      <c r="S170" s="317"/>
      <c r="T170" s="317"/>
      <c r="U170" s="317"/>
      <c r="V170" s="612"/>
    </row>
    <row r="171" spans="1:22" ht="16.5" hidden="1" customHeight="1" x14ac:dyDescent="0.2">
      <c r="A171" s="257"/>
      <c r="B171" s="255"/>
      <c r="C171" s="255"/>
      <c r="D171" s="255"/>
      <c r="E171" s="255"/>
      <c r="F171" s="255"/>
      <c r="G171" s="255"/>
      <c r="H171" s="255"/>
      <c r="I171" s="255"/>
      <c r="J171" s="255"/>
      <c r="K171" s="255"/>
      <c r="L171" s="255"/>
      <c r="M171" s="255"/>
      <c r="N171" s="255"/>
      <c r="O171" s="255"/>
      <c r="P171" s="255"/>
      <c r="Q171" s="255"/>
      <c r="R171" s="255"/>
      <c r="S171" s="255"/>
      <c r="T171" s="255"/>
      <c r="U171" s="255"/>
      <c r="V171" s="612"/>
    </row>
    <row r="172" spans="1:22" ht="15" hidden="1" customHeight="1" x14ac:dyDescent="0.25">
      <c r="A172" s="259" t="s">
        <v>889</v>
      </c>
      <c r="B172" s="255"/>
      <c r="C172" s="255"/>
      <c r="D172" s="255"/>
      <c r="E172" s="255"/>
      <c r="F172" s="255"/>
      <c r="G172" s="255"/>
      <c r="H172" s="255"/>
      <c r="I172" s="255"/>
      <c r="J172" s="255"/>
      <c r="K172" s="255"/>
      <c r="L172" s="255"/>
      <c r="M172" s="255"/>
      <c r="N172" s="255"/>
      <c r="O172" s="255"/>
      <c r="P172" s="255"/>
      <c r="Q172" s="255"/>
      <c r="R172" s="255"/>
      <c r="S172" s="255"/>
      <c r="T172" s="255"/>
      <c r="U172" s="255"/>
      <c r="V172" s="612"/>
    </row>
    <row r="173" spans="1:22" ht="14.25" hidden="1" customHeight="1" x14ac:dyDescent="0.2">
      <c r="A173" s="287" t="s">
        <v>884</v>
      </c>
      <c r="B173" s="256">
        <f>IF(ISERROR('Oper.St.'!C17),"",IF('Oper.St.'!C17=0,"",'Oper.St.'!C17))</f>
        <v>0.8</v>
      </c>
      <c r="C173" s="256">
        <f>IF(ISERROR('Oper.St.'!D17),"",IF('Oper.St.'!D17=0,"",'Oper.St.'!D17))</f>
        <v>1.05</v>
      </c>
      <c r="D173" s="256">
        <f>IF(ISERROR('Oper.St.'!E17),"",IF('Oper.St.'!E17=0,"",'Oper.St.'!E17))</f>
        <v>2.2000000000000002</v>
      </c>
      <c r="E173" s="256">
        <f>IF(ISERROR('Oper.St.'!F17),"",IF('Oper.St.'!F17=0,"",'Oper.St.'!F17))</f>
        <v>4</v>
      </c>
      <c r="F173" s="256">
        <f>IF(ISERROR('Oper.St.'!G17),"",IF('Oper.St.'!G17=0,"",'Oper.St.'!G17))</f>
        <v>20</v>
      </c>
      <c r="G173" s="256">
        <f>IF(ISERROR('Oper.St.'!H17),"",IF('Oper.St.'!H17=0,"",'Oper.St.'!H17))</f>
        <v>34.28</v>
      </c>
      <c r="H173" s="256">
        <f>IF(ISERROR('Oper.St.'!I17),"",IF('Oper.St.'!I17=0,"",'Oper.St.'!I17))</f>
        <v>40.42</v>
      </c>
      <c r="I173" s="256">
        <f>IF(ISERROR('Oper.St.'!J17),"",IF('Oper.St.'!J17=0,"",'Oper.St.'!J17))</f>
        <v>44.09</v>
      </c>
      <c r="J173" s="256">
        <f>IF(ISERROR('Oper.St.'!K17),"",IF('Oper.St.'!K17=0,"",'Oper.St.'!K17))</f>
        <v>47.96</v>
      </c>
      <c r="K173" s="256">
        <f>IF(ISERROR('Oper.St.'!L17),"",IF('Oper.St.'!L17=0,"",'Oper.St.'!L17))</f>
        <v>52.03</v>
      </c>
      <c r="L173" s="256">
        <f>IF(ISERROR('Oper.St.'!M17),"",IF('Oper.St.'!M17=0,"",'Oper.St.'!M17))</f>
        <v>56.2</v>
      </c>
      <c r="M173" s="256" t="str">
        <f>IF(ISERROR('Oper.St.'!N17),"",IF('Oper.St.'!N17=0,"",'Oper.St.'!N17))</f>
        <v/>
      </c>
      <c r="N173" s="256" t="str">
        <f>IF(ISERROR('Oper.St.'!O17),"",IF('Oper.St.'!O17=0,"",'Oper.St.'!O17))</f>
        <v/>
      </c>
      <c r="O173" s="256" t="str">
        <f>IF(ISERROR('Oper.St.'!P17),"",IF('Oper.St.'!P17=0,"",'Oper.St.'!P17))</f>
        <v/>
      </c>
      <c r="P173" s="256" t="str">
        <f>IF(ISERROR('Oper.St.'!Q17),"",IF('Oper.St.'!Q17=0,"",'Oper.St.'!Q17))</f>
        <v/>
      </c>
      <c r="Q173" s="256" t="str">
        <f>IF(ISERROR('Oper.St.'!R17),"",IF('Oper.St.'!R17=0,"",'Oper.St.'!R17))</f>
        <v/>
      </c>
      <c r="R173" s="256" t="str">
        <f>IF(ISERROR('Oper.St.'!S17),"",IF('Oper.St.'!S17=0,"",'Oper.St.'!S17))</f>
        <v/>
      </c>
      <c r="S173" s="256" t="str">
        <f>IF(ISERROR('Oper.St.'!T17),"",IF('Oper.St.'!T17=0,"",'Oper.St.'!T17))</f>
        <v/>
      </c>
      <c r="T173" s="256" t="str">
        <f>IF(ISERROR('Oper.St.'!U17),"",IF('Oper.St.'!U17=0,"",'Oper.St.'!U17))</f>
        <v/>
      </c>
      <c r="U173" s="256" t="str">
        <f>IF(ISERROR('Oper.St.'!V17),"",IF('Oper.St.'!V17=0,"",'Oper.St.'!V17))</f>
        <v/>
      </c>
      <c r="V173" s="612"/>
    </row>
    <row r="174" spans="1:22" ht="14.25" hidden="1" customHeight="1" x14ac:dyDescent="0.2">
      <c r="A174" s="287" t="s">
        <v>887</v>
      </c>
      <c r="B174" s="256">
        <f>IF(ISERROR(B173/4),"",IF(B173/4=0,"",B173/4))</f>
        <v>0.2</v>
      </c>
      <c r="C174" s="256">
        <f>IF(ISERROR(C173/4),"",IF(C173/4=0,"",C173/4))</f>
        <v>0.26250000000000001</v>
      </c>
      <c r="D174" s="256">
        <f t="shared" ref="D174:U174" si="53">IF(ISERROR(D173/4),"",IF(D173/4=0,"",D173/4))</f>
        <v>0.55000000000000004</v>
      </c>
      <c r="E174" s="256">
        <f t="shared" si="53"/>
        <v>1</v>
      </c>
      <c r="F174" s="256">
        <f t="shared" si="53"/>
        <v>5</v>
      </c>
      <c r="G174" s="256">
        <f t="shared" si="53"/>
        <v>8.57</v>
      </c>
      <c r="H174" s="256">
        <f t="shared" si="53"/>
        <v>10.105</v>
      </c>
      <c r="I174" s="256">
        <f t="shared" si="53"/>
        <v>11.022500000000001</v>
      </c>
      <c r="J174" s="256">
        <f t="shared" si="53"/>
        <v>11.99</v>
      </c>
      <c r="K174" s="256">
        <f t="shared" si="53"/>
        <v>13.0075</v>
      </c>
      <c r="L174" s="256">
        <f t="shared" si="53"/>
        <v>14.05</v>
      </c>
      <c r="M174" s="256" t="str">
        <f t="shared" si="53"/>
        <v/>
      </c>
      <c r="N174" s="256" t="str">
        <f t="shared" si="53"/>
        <v/>
      </c>
      <c r="O174" s="256" t="str">
        <f t="shared" si="53"/>
        <v/>
      </c>
      <c r="P174" s="256" t="str">
        <f t="shared" si="53"/>
        <v/>
      </c>
      <c r="Q174" s="256" t="str">
        <f t="shared" si="53"/>
        <v/>
      </c>
      <c r="R174" s="256" t="str">
        <f t="shared" si="53"/>
        <v/>
      </c>
      <c r="S174" s="256" t="str">
        <f t="shared" si="53"/>
        <v/>
      </c>
      <c r="T174" s="256" t="str">
        <f t="shared" si="53"/>
        <v/>
      </c>
      <c r="U174" s="256" t="str">
        <f t="shared" si="53"/>
        <v/>
      </c>
      <c r="V174" s="612"/>
    </row>
    <row r="175" spans="1:22" ht="14.25" hidden="1" customHeight="1" x14ac:dyDescent="0.2">
      <c r="A175" s="287" t="s">
        <v>888</v>
      </c>
      <c r="B175" s="256">
        <f>IF(ISERROR(B174/5),"",IF(B174/5=0,"",B174/5))</f>
        <v>0.04</v>
      </c>
      <c r="C175" s="256">
        <f>IF(ISERROR(C174/5),"",IF(C174/5=0,"",C174/5))</f>
        <v>5.2500000000000005E-2</v>
      </c>
      <c r="D175" s="256">
        <f t="shared" ref="D175:U175" si="54">IF(ISERROR(D174/5),"",IF(D174/5=0,"",D174/5))</f>
        <v>0.11000000000000001</v>
      </c>
      <c r="E175" s="256">
        <f t="shared" si="54"/>
        <v>0.2</v>
      </c>
      <c r="F175" s="256">
        <f t="shared" si="54"/>
        <v>1</v>
      </c>
      <c r="G175" s="256">
        <f t="shared" si="54"/>
        <v>1.714</v>
      </c>
      <c r="H175" s="256">
        <f t="shared" si="54"/>
        <v>2.0209999999999999</v>
      </c>
      <c r="I175" s="256">
        <f t="shared" si="54"/>
        <v>2.2045000000000003</v>
      </c>
      <c r="J175" s="256">
        <f t="shared" si="54"/>
        <v>2.3980000000000001</v>
      </c>
      <c r="K175" s="256">
        <f t="shared" si="54"/>
        <v>2.6015000000000001</v>
      </c>
      <c r="L175" s="256">
        <f t="shared" si="54"/>
        <v>2.81</v>
      </c>
      <c r="M175" s="256" t="str">
        <f t="shared" si="54"/>
        <v/>
      </c>
      <c r="N175" s="256" t="str">
        <f t="shared" si="54"/>
        <v/>
      </c>
      <c r="O175" s="256" t="str">
        <f t="shared" si="54"/>
        <v/>
      </c>
      <c r="P175" s="256" t="str">
        <f t="shared" si="54"/>
        <v/>
      </c>
      <c r="Q175" s="256" t="str">
        <f t="shared" si="54"/>
        <v/>
      </c>
      <c r="R175" s="256" t="str">
        <f t="shared" si="54"/>
        <v/>
      </c>
      <c r="S175" s="256" t="str">
        <f t="shared" si="54"/>
        <v/>
      </c>
      <c r="T175" s="256" t="str">
        <f t="shared" si="54"/>
        <v/>
      </c>
      <c r="U175" s="256" t="str">
        <f t="shared" si="54"/>
        <v/>
      </c>
      <c r="V175" s="612"/>
    </row>
    <row r="176" spans="1:22" ht="14.25" hidden="1" customHeight="1" x14ac:dyDescent="0.2">
      <c r="A176" s="287" t="s">
        <v>885</v>
      </c>
      <c r="B176" s="256">
        <f>IF(ISERROR(B174-B175),"",IF(B174-B175=0,"",B174-B175))</f>
        <v>0.16</v>
      </c>
      <c r="C176" s="256">
        <f>IF(ISERROR(C174-C175),"",IF(C174-C175=0,"",C174-C175))</f>
        <v>0.21000000000000002</v>
      </c>
      <c r="D176" s="256">
        <f t="shared" ref="D176:U176" si="55">IF(ISERROR(D174-D175),"",IF(D174-D175=0,"",D174-D175))</f>
        <v>0.44000000000000006</v>
      </c>
      <c r="E176" s="256">
        <f t="shared" si="55"/>
        <v>0.8</v>
      </c>
      <c r="F176" s="256">
        <f t="shared" si="55"/>
        <v>4</v>
      </c>
      <c r="G176" s="256">
        <f t="shared" si="55"/>
        <v>6.8559999999999999</v>
      </c>
      <c r="H176" s="256">
        <f t="shared" si="55"/>
        <v>8.0839999999999996</v>
      </c>
      <c r="I176" s="256">
        <f t="shared" si="55"/>
        <v>8.8180000000000014</v>
      </c>
      <c r="J176" s="256">
        <f t="shared" si="55"/>
        <v>9.5920000000000005</v>
      </c>
      <c r="K176" s="256">
        <f t="shared" si="55"/>
        <v>10.406000000000001</v>
      </c>
      <c r="L176" s="256">
        <f t="shared" si="55"/>
        <v>11.24</v>
      </c>
      <c r="M176" s="256" t="str">
        <f t="shared" si="55"/>
        <v/>
      </c>
      <c r="N176" s="256" t="str">
        <f t="shared" si="55"/>
        <v/>
      </c>
      <c r="O176" s="256" t="str">
        <f t="shared" si="55"/>
        <v/>
      </c>
      <c r="P176" s="256" t="str">
        <f t="shared" si="55"/>
        <v/>
      </c>
      <c r="Q176" s="256" t="str">
        <f t="shared" si="55"/>
        <v/>
      </c>
      <c r="R176" s="256" t="str">
        <f t="shared" si="55"/>
        <v/>
      </c>
      <c r="S176" s="256" t="str">
        <f t="shared" si="55"/>
        <v/>
      </c>
      <c r="T176" s="256" t="str">
        <f t="shared" si="55"/>
        <v/>
      </c>
      <c r="U176" s="256" t="str">
        <f t="shared" si="55"/>
        <v/>
      </c>
      <c r="V176" s="612"/>
    </row>
    <row r="177" spans="1:22" ht="14.25" hidden="1" customHeight="1" x14ac:dyDescent="0.2">
      <c r="A177" s="287" t="s">
        <v>886</v>
      </c>
      <c r="B177" s="317"/>
      <c r="C177" s="317"/>
      <c r="D177" s="317"/>
      <c r="E177" s="317"/>
      <c r="F177" s="317"/>
      <c r="G177" s="317"/>
      <c r="H177" s="317"/>
      <c r="I177" s="317"/>
      <c r="J177" s="317"/>
      <c r="K177" s="317"/>
      <c r="L177" s="317"/>
      <c r="M177" s="317"/>
      <c r="N177" s="317"/>
      <c r="O177" s="317"/>
      <c r="P177" s="317"/>
      <c r="Q177" s="317"/>
      <c r="R177" s="317"/>
      <c r="S177" s="317"/>
      <c r="T177" s="317"/>
      <c r="U177" s="317"/>
      <c r="V177" s="612"/>
    </row>
    <row r="178" spans="1:22" ht="20.25" hidden="1" customHeight="1" x14ac:dyDescent="0.25">
      <c r="A178" s="259" t="s">
        <v>467</v>
      </c>
      <c r="B178" s="255"/>
      <c r="C178" s="255"/>
      <c r="D178" s="255"/>
      <c r="E178" s="255"/>
      <c r="F178" s="255"/>
      <c r="G178" s="255"/>
      <c r="H178" s="255"/>
      <c r="I178" s="255"/>
      <c r="J178" s="255"/>
      <c r="K178" s="255"/>
      <c r="L178" s="255"/>
      <c r="M178" s="255"/>
      <c r="N178" s="255"/>
      <c r="O178" s="255"/>
      <c r="P178" s="255"/>
      <c r="Q178" s="255"/>
      <c r="R178" s="255"/>
      <c r="S178" s="255"/>
      <c r="T178" s="255"/>
      <c r="U178" s="255"/>
      <c r="V178" s="612"/>
    </row>
    <row r="179" spans="1:22" s="297" customFormat="1" ht="12.75" hidden="1" customHeight="1" x14ac:dyDescent="0.25">
      <c r="A179" s="296"/>
      <c r="B179" s="261">
        <f>B3</f>
        <v>2020</v>
      </c>
      <c r="C179" s="261">
        <f>C3</f>
        <v>2021</v>
      </c>
      <c r="D179" s="261">
        <f t="shared" ref="D179:U179" si="56">D3</f>
        <v>2022</v>
      </c>
      <c r="E179" s="261">
        <f t="shared" si="56"/>
        <v>2023</v>
      </c>
      <c r="F179" s="261">
        <f t="shared" si="56"/>
        <v>2024</v>
      </c>
      <c r="G179" s="261">
        <f t="shared" si="56"/>
        <v>2025</v>
      </c>
      <c r="H179" s="261">
        <f t="shared" si="56"/>
        <v>2026</v>
      </c>
      <c r="I179" s="261">
        <f t="shared" si="56"/>
        <v>2027</v>
      </c>
      <c r="J179" s="261">
        <f t="shared" si="56"/>
        <v>2028</v>
      </c>
      <c r="K179" s="261">
        <f t="shared" si="56"/>
        <v>2029</v>
      </c>
      <c r="L179" s="261">
        <f t="shared" si="56"/>
        <v>2030</v>
      </c>
      <c r="M179" s="261">
        <f t="shared" si="56"/>
        <v>2031</v>
      </c>
      <c r="N179" s="261">
        <f t="shared" si="56"/>
        <v>2032</v>
      </c>
      <c r="O179" s="261">
        <f t="shared" si="56"/>
        <v>2033</v>
      </c>
      <c r="P179" s="261">
        <f t="shared" si="56"/>
        <v>2034</v>
      </c>
      <c r="Q179" s="261">
        <f t="shared" si="56"/>
        <v>2035</v>
      </c>
      <c r="R179" s="261">
        <f t="shared" si="56"/>
        <v>2036</v>
      </c>
      <c r="S179" s="261">
        <f t="shared" si="56"/>
        <v>2037</v>
      </c>
      <c r="T179" s="261">
        <f t="shared" si="56"/>
        <v>2038</v>
      </c>
      <c r="U179" s="261">
        <f t="shared" si="56"/>
        <v>2039</v>
      </c>
      <c r="V179" s="613"/>
    </row>
    <row r="180" spans="1:22" s="297" customFormat="1" ht="12.75" hidden="1" customHeight="1" x14ac:dyDescent="0.25">
      <c r="A180" s="296"/>
      <c r="B180" s="261" t="str">
        <f>B159</f>
        <v>AUD.</v>
      </c>
      <c r="C180" s="261" t="str">
        <f>C159</f>
        <v>AUD.</v>
      </c>
      <c r="D180" s="261" t="str">
        <f t="shared" ref="D180:U180" si="57">D159</f>
        <v>AUD.</v>
      </c>
      <c r="E180" s="261" t="str">
        <f t="shared" si="57"/>
        <v>EST.</v>
      </c>
      <c r="F180" s="261" t="str">
        <f t="shared" si="57"/>
        <v>PROJ.</v>
      </c>
      <c r="G180" s="261" t="str">
        <f t="shared" si="57"/>
        <v>PROJ.</v>
      </c>
      <c r="H180" s="261" t="str">
        <f t="shared" si="57"/>
        <v>PROJ.</v>
      </c>
      <c r="I180" s="261" t="str">
        <f t="shared" si="57"/>
        <v>PROJ.</v>
      </c>
      <c r="J180" s="261" t="str">
        <f t="shared" si="57"/>
        <v>PROJ.</v>
      </c>
      <c r="K180" s="261" t="str">
        <f t="shared" si="57"/>
        <v>PROJ.</v>
      </c>
      <c r="L180" s="261" t="str">
        <f t="shared" si="57"/>
        <v>PROJ.</v>
      </c>
      <c r="M180" s="261" t="str">
        <f t="shared" si="57"/>
        <v>PROJ.</v>
      </c>
      <c r="N180" s="261" t="str">
        <f t="shared" si="57"/>
        <v>PROJ.</v>
      </c>
      <c r="O180" s="261" t="str">
        <f t="shared" si="57"/>
        <v>PROJ.</v>
      </c>
      <c r="P180" s="261" t="str">
        <f t="shared" si="57"/>
        <v>PROJ.</v>
      </c>
      <c r="Q180" s="261" t="str">
        <f t="shared" si="57"/>
        <v>PROJ.</v>
      </c>
      <c r="R180" s="261" t="str">
        <f t="shared" si="57"/>
        <v>PROJ.</v>
      </c>
      <c r="S180" s="261" t="str">
        <f t="shared" si="57"/>
        <v>PROJ.</v>
      </c>
      <c r="T180" s="261" t="str">
        <f t="shared" si="57"/>
        <v>PROJ.</v>
      </c>
      <c r="U180" s="261" t="str">
        <f t="shared" si="57"/>
        <v>PROJ.</v>
      </c>
      <c r="V180" s="613"/>
    </row>
    <row r="181" spans="1:22" ht="14.25" hidden="1" customHeight="1" x14ac:dyDescent="0.2">
      <c r="A181" s="287" t="s">
        <v>430</v>
      </c>
      <c r="B181" s="256">
        <f>IF(ISERROR(B7/(Asset!C93-Asset!C89)),"",IF(B7/(Asset!C93-Asset!C89)=0,"",B7/(Asset!C93-Asset!C89)))</f>
        <v>2.8571428571428572</v>
      </c>
      <c r="C181" s="256">
        <f>IF(ISERROR(C7/(Asset!D93-Asset!D89)),"",IF(C7/(Asset!D93-Asset!D89)=0,"",C7/(Asset!D93-Asset!D89)))</f>
        <v>2.3863636363636362</v>
      </c>
      <c r="D181" s="256">
        <f>IF(ISERROR(D7/(Asset!E93-Asset!E89)),"",IF(D7/(Asset!E93-Asset!E89)=0,"",D7/(Asset!E93-Asset!E89)))</f>
        <v>0.45360824742268047</v>
      </c>
      <c r="E181" s="256">
        <f>IF(ISERROR(E7/(Asset!F93-Asset!F89)),"",IF(E7/(Asset!F93-Asset!F89)=0,"",E7/(Asset!F93-Asset!F89)))</f>
        <v>0.26367831245880025</v>
      </c>
      <c r="F181" s="256">
        <f>IF(ISERROR(F7/(Asset!G93-Asset!G89)),"",IF(F7/(Asset!G93-Asset!G89)=0,"",F7/(Asset!G93-Asset!G89)))</f>
        <v>0.7482229704451927</v>
      </c>
      <c r="G181" s="256">
        <f>IF(ISERROR(G7/(Asset!H93-Asset!H89)),"",IF(G7/(Asset!H93-Asset!H89)=0,"",G7/(Asset!H93-Asset!H89)))</f>
        <v>1.2495027720267293</v>
      </c>
      <c r="H181" s="256">
        <f>IF(ISERROR(H7/(Asset!I93-Asset!I89)),"",IF(H7/(Asset!I93-Asset!I89)=0,"",H7/(Asset!I93-Asset!I89)))</f>
        <v>1.4527499155085932</v>
      </c>
      <c r="I181" s="256">
        <f>IF(ISERROR(I7/(Asset!J93-Asset!J89)),"",IF(I7/(Asset!J93-Asset!J89)=0,"",I7/(Asset!J93-Asset!J89)))</f>
        <v>1.6076247025290962</v>
      </c>
      <c r="J181" s="256">
        <f>IF(ISERROR(J7/(Asset!K93-Asset!K89)),"",IF(J7/(Asset!K93-Asset!K89)=0,"",J7/(Asset!K93-Asset!K89)))</f>
        <v>1.7682276687876382</v>
      </c>
      <c r="K181" s="256">
        <f>IF(ISERROR(K7/(Asset!L93-Asset!L89)),"",IF(K7/(Asset!L93-Asset!L89)=0,"",K7/(Asset!L93-Asset!L89)))</f>
        <v>1.9426459272505607</v>
      </c>
      <c r="L181" s="256">
        <f>IF(ISERROR(L7/(Asset!M93-Asset!M89)),"",IF(L7/(Asset!M93-Asset!M89)=0,"",L7/(Asset!M93-Asset!M89)))</f>
        <v>2.1418166294601848</v>
      </c>
      <c r="M181" s="256" t="str">
        <f>IF(ISERROR(M7/(Asset!N93-Asset!N89)),"",IF(M7/(Asset!N93-Asset!N89)=0,"",M7/(Asset!N93-Asset!N89)))</f>
        <v/>
      </c>
      <c r="N181" s="256" t="str">
        <f>IF(ISERROR(N7/(Asset!O93-Asset!O89)),"",IF(N7/(Asset!O93-Asset!O89)=0,"",N7/(Asset!O93-Asset!O89)))</f>
        <v/>
      </c>
      <c r="O181" s="256" t="str">
        <f>IF(ISERROR(O7/(Asset!P93-Asset!P89)),"",IF(O7/(Asset!P93-Asset!P89)=0,"",O7/(Asset!P93-Asset!P89)))</f>
        <v/>
      </c>
      <c r="P181" s="256" t="str">
        <f>IF(ISERROR(P7/(Asset!Q93-Asset!Q89)),"",IF(P7/(Asset!Q93-Asset!Q89)=0,"",P7/(Asset!Q93-Asset!Q89)))</f>
        <v/>
      </c>
      <c r="Q181" s="256" t="str">
        <f>IF(ISERROR(Q7/(Asset!R93-Asset!R89)),"",IF(Q7/(Asset!R93-Asset!R89)=0,"",Q7/(Asset!R93-Asset!R89)))</f>
        <v/>
      </c>
      <c r="R181" s="256" t="str">
        <f>IF(ISERROR(R7/(Asset!S93-Asset!S89)),"",IF(R7/(Asset!S93-Asset!S89)=0,"",R7/(Asset!S93-Asset!S89)))</f>
        <v/>
      </c>
      <c r="S181" s="256" t="str">
        <f>IF(ISERROR(S7/(Asset!T93-Asset!T89)),"",IF(S7/(Asset!T93-Asset!T89)=0,"",S7/(Asset!T93-Asset!T89)))</f>
        <v/>
      </c>
      <c r="T181" s="256" t="str">
        <f>IF(ISERROR(T7/(Asset!U93-Asset!U89)),"",IF(T7/(Asset!U93-Asset!U89)=0,"",T7/(Asset!U93-Asset!U89)))</f>
        <v/>
      </c>
      <c r="U181" s="256" t="str">
        <f>IF(ISERROR(U7/(Asset!V93-Asset!V89)),"",IF(U7/(Asset!V93-Asset!V89)=0,"",U7/(Asset!V93-Asset!V89)))</f>
        <v/>
      </c>
      <c r="V181" s="612"/>
    </row>
    <row r="182" spans="1:22" s="303" customFormat="1" ht="14.25" hidden="1" customHeight="1" x14ac:dyDescent="0.2">
      <c r="A182" s="318" t="s">
        <v>427</v>
      </c>
      <c r="B182" s="271">
        <f>IF(ISERROR(B29/(Asset!C93-Asset!C89)),"",IF(B29/(Asset!C93-Asset!C89)=0,"",B29/(Asset!C93-Asset!C89)))</f>
        <v>0.75</v>
      </c>
      <c r="C182" s="271">
        <f>IF(ISERROR(C29/(Asset!D93-Asset!D89)),"",IF(C29/(Asset!D93-Asset!D89)=0,"",C29/(Asset!D93-Asset!D89)))</f>
        <v>0.84090909090909094</v>
      </c>
      <c r="D182" s="271">
        <f>IF(ISERROR(D29/(Asset!E93-Asset!E89)),"",IF(D29/(Asset!E93-Asset!E89)=0,"",D29/(Asset!E93-Asset!E89)))</f>
        <v>0.1422680412371134</v>
      </c>
      <c r="E182" s="271">
        <f>IF(ISERROR(E29/(Asset!F93-Asset!F89)),"",IF(E29/(Asset!F93-Asset!F89)=0,"",E29/(Asset!F93-Asset!F89)))</f>
        <v>7.0533948582729059E-2</v>
      </c>
      <c r="F182" s="271">
        <f>IF(ISERROR(F29/(Asset!G93-Asset!G89)),"",IF(F29/(Asset!G93-Asset!G89)=0,"",F29/(Asset!G93-Asset!G89)))</f>
        <v>0.23793490460157124</v>
      </c>
      <c r="G182" s="271">
        <f>IF(ISERROR(G29/(Asset!H93-Asset!H89)),"",IF(G29/(Asset!H93-Asset!H89)=0,"",G29/(Asset!H93-Asset!H89)))</f>
        <v>0.34791118461032122</v>
      </c>
      <c r="H182" s="271">
        <f>IF(ISERROR(H29/(Asset!I93-Asset!I89)),"",IF(H29/(Asset!I93-Asset!I89)=0,"",H29/(Asset!I93-Asset!I89)))</f>
        <v>0.43464235104032228</v>
      </c>
      <c r="I182" s="271">
        <f>IF(ISERROR(I29/(Asset!J93-Asset!J89)),"",IF(I29/(Asset!J93-Asset!J89)=0,"",I29/(Asset!J93-Asset!J89)))</f>
        <v>0.49499654955708816</v>
      </c>
      <c r="J182" s="271">
        <f>IF(ISERROR(J29/(Asset!K93-Asset!K89)),"",IF(J29/(Asset!K93-Asset!K89)=0,"",J29/(Asset!K93-Asset!K89)))</f>
        <v>0.54983194670773428</v>
      </c>
      <c r="K182" s="271">
        <f>IF(ISERROR(K29/(Asset!L93-Asset!L89)),"",IF(K29/(Asset!L93-Asset!L89)=0,"",K29/(Asset!L93-Asset!L89)))</f>
        <v>0.59750676348719878</v>
      </c>
      <c r="L182" s="271">
        <f>IF(ISERROR(L29/(Asset!M93-Asset!M89)),"",IF(L29/(Asset!M93-Asset!M89)=0,"",L29/(Asset!M93-Asset!M89)))</f>
        <v>0.63642472161832442</v>
      </c>
      <c r="M182" s="271" t="str">
        <f>IF(ISERROR(M29/(Asset!N93-Asset!N89)),"",IF(M29/(Asset!N93-Asset!N89)=0,"",M29/(Asset!N93-Asset!N89)))</f>
        <v/>
      </c>
      <c r="N182" s="271" t="str">
        <f>IF(ISERROR(N29/(Asset!O93-Asset!O89)),"",IF(N29/(Asset!O93-Asset!O89)=0,"",N29/(Asset!O93-Asset!O89)))</f>
        <v/>
      </c>
      <c r="O182" s="271" t="str">
        <f>IF(ISERROR(O29/(Asset!P93-Asset!P89)),"",IF(O29/(Asset!P93-Asset!P89)=0,"",O29/(Asset!P93-Asset!P89)))</f>
        <v/>
      </c>
      <c r="P182" s="271" t="str">
        <f>IF(ISERROR(P29/(Asset!Q93-Asset!Q89)),"",IF(P29/(Asset!Q93-Asset!Q89)=0,"",P29/(Asset!Q93-Asset!Q89)))</f>
        <v/>
      </c>
      <c r="Q182" s="271" t="str">
        <f>IF(ISERROR(Q29/(Asset!R93-Asset!R89)),"",IF(Q29/(Asset!R93-Asset!R89)=0,"",Q29/(Asset!R93-Asset!R89)))</f>
        <v/>
      </c>
      <c r="R182" s="271" t="str">
        <f>IF(ISERROR(R29/(Asset!S93-Asset!S89)),"",IF(R29/(Asset!S93-Asset!S89)=0,"",R29/(Asset!S93-Asset!S89)))</f>
        <v/>
      </c>
      <c r="S182" s="271" t="str">
        <f>IF(ISERROR(S29/(Asset!T93-Asset!T89)),"",IF(S29/(Asset!T93-Asset!T89)=0,"",S29/(Asset!T93-Asset!T89)))</f>
        <v/>
      </c>
      <c r="T182" s="271" t="str">
        <f>IF(ISERROR(T29/(Asset!U93-Asset!U89)),"",IF(T29/(Asset!U93-Asset!U89)=0,"",T29/(Asset!U93-Asset!U89)))</f>
        <v/>
      </c>
      <c r="U182" s="271" t="str">
        <f>IF(ISERROR(U29/(Asset!V93-Asset!V89)),"",IF(U29/(Asset!V93-Asset!V89)=0,"",U29/(Asset!V93-Asset!V89)))</f>
        <v/>
      </c>
      <c r="V182" s="618"/>
    </row>
    <row r="183" spans="1:22" s="303" customFormat="1" ht="14.25" hidden="1" customHeight="1" x14ac:dyDescent="0.2">
      <c r="A183" s="318" t="s">
        <v>428</v>
      </c>
      <c r="B183" s="271">
        <f>IF(ISERROR('Oper.St.'!C69/'Oper.St.'!C23),"",IF('Oper.St.'!C69/'Oper.St.'!C23=0,"",'Oper.St.'!C69/'Oper.St.'!C23))</f>
        <v>0.875</v>
      </c>
      <c r="C183" s="271">
        <f>IF(ISERROR('Oper.St.'!D69/'Oper.St.'!D23),"",IF('Oper.St.'!D69/'Oper.St.'!D23=0,"",'Oper.St.'!D69/'Oper.St.'!D23))</f>
        <v>0.87619047619047619</v>
      </c>
      <c r="D183" s="271">
        <f>IF(ISERROR('Oper.St.'!E69/'Oper.St.'!E23),"",IF('Oper.St.'!E69/'Oper.St.'!E23=0,"",'Oper.St.'!E69/'Oper.St.'!E23))</f>
        <v>0.80454545454545445</v>
      </c>
      <c r="E183" s="271">
        <f>IF(ISERROR('Oper.St.'!F69/'Oper.St.'!F23),"",IF('Oper.St.'!F69/'Oper.St.'!F23=0,"",'Oper.St.'!F69/'Oper.St.'!F23))</f>
        <v>0.80500000000000005</v>
      </c>
      <c r="F183" s="271">
        <f>IF(ISERROR('Oper.St.'!G69/'Oper.St.'!G23),"",IF('Oper.St.'!G69/'Oper.St.'!G23=0,"",'Oper.St.'!G69/'Oper.St.'!G23))</f>
        <v>0.91349999999999998</v>
      </c>
      <c r="G183" s="271">
        <f>IF(ISERROR('Oper.St.'!H69/'Oper.St.'!H23),"",IF('Oper.St.'!H69/'Oper.St.'!H23=0,"",'Oper.St.'!H69/'Oper.St.'!H23))</f>
        <v>0.91598599766627764</v>
      </c>
      <c r="H183" s="271">
        <f>IF(ISERROR('Oper.St.'!I69/'Oper.St.'!I23),"",IF('Oper.St.'!I69/'Oper.St.'!I23=0,"",'Oper.St.'!I69/'Oper.St.'!I23))</f>
        <v>0.91810984661058881</v>
      </c>
      <c r="I183" s="271">
        <f>IF(ISERROR('Oper.St.'!J69/'Oper.St.'!J23),"",IF('Oper.St.'!J69/'Oper.St.'!J23=0,"",'Oper.St.'!J69/'Oper.St.'!J23))</f>
        <v>0.9215241551372193</v>
      </c>
      <c r="J183" s="271">
        <f>IF(ISERROR('Oper.St.'!K69/'Oper.St.'!K23),"",IF('Oper.St.'!K69/'Oper.St.'!K23=0,"",'Oper.St.'!K69/'Oper.St.'!K23))</f>
        <v>0.92577147623019196</v>
      </c>
      <c r="K183" s="271">
        <f>IF(ISERROR('Oper.St.'!L69/'Oper.St.'!L23),"",IF('Oper.St.'!L69/'Oper.St.'!L23=0,"",'Oper.St.'!L69/'Oper.St.'!L23))</f>
        <v>0.92946377090140297</v>
      </c>
      <c r="L183" s="271">
        <f>IF(ISERROR('Oper.St.'!M69/'Oper.St.'!M23),"",IF('Oper.St.'!M69/'Oper.St.'!M23=0,"",'Oper.St.'!M69/'Oper.St.'!M23))</f>
        <v>0.9300711743772242</v>
      </c>
      <c r="M183" s="271" t="str">
        <f>IF(ISERROR('Oper.St.'!N69/'Oper.St.'!N23),"",IF('Oper.St.'!N69/'Oper.St.'!N23=0,"",'Oper.St.'!N69/'Oper.St.'!N23))</f>
        <v/>
      </c>
      <c r="N183" s="271" t="str">
        <f>IF(ISERROR('Oper.St.'!O69/'Oper.St.'!O23),"",IF('Oper.St.'!O69/'Oper.St.'!O23=0,"",'Oper.St.'!O69/'Oper.St.'!O23))</f>
        <v/>
      </c>
      <c r="O183" s="271" t="str">
        <f>IF(ISERROR('Oper.St.'!P69/'Oper.St.'!P23),"",IF('Oper.St.'!P69/'Oper.St.'!P23=0,"",'Oper.St.'!P69/'Oper.St.'!P23))</f>
        <v/>
      </c>
      <c r="P183" s="271" t="str">
        <f>IF(ISERROR('Oper.St.'!Q69/'Oper.St.'!Q23),"",IF('Oper.St.'!Q69/'Oper.St.'!Q23=0,"",'Oper.St.'!Q69/'Oper.St.'!Q23))</f>
        <v/>
      </c>
      <c r="Q183" s="271" t="str">
        <f>IF(ISERROR('Oper.St.'!R69/'Oper.St.'!R23),"",IF('Oper.St.'!R69/'Oper.St.'!R23=0,"",'Oper.St.'!R69/'Oper.St.'!R23))</f>
        <v/>
      </c>
      <c r="R183" s="271" t="str">
        <f>IF(ISERROR('Oper.St.'!S69/'Oper.St.'!S23),"",IF('Oper.St.'!S69/'Oper.St.'!S23=0,"",'Oper.St.'!S69/'Oper.St.'!S23))</f>
        <v/>
      </c>
      <c r="S183" s="271" t="str">
        <f>IF(ISERROR('Oper.St.'!T69/'Oper.St.'!T23),"",IF('Oper.St.'!T69/'Oper.St.'!T23=0,"",'Oper.St.'!T69/'Oper.St.'!T23))</f>
        <v/>
      </c>
      <c r="T183" s="271" t="str">
        <f>IF(ISERROR('Oper.St.'!U69/'Oper.St.'!U23),"",IF('Oper.St.'!U69/'Oper.St.'!U23=0,"",'Oper.St.'!U69/'Oper.St.'!U23))</f>
        <v/>
      </c>
      <c r="U183" s="271" t="str">
        <f>IF(ISERROR('Oper.St.'!V69/'Oper.St.'!V23),"",IF('Oper.St.'!V69/'Oper.St.'!V23=0,"",'Oper.St.'!V69/'Oper.St.'!V23))</f>
        <v/>
      </c>
      <c r="V183" s="618"/>
    </row>
    <row r="184" spans="1:22" s="303" customFormat="1" ht="14.25" hidden="1" customHeight="1" x14ac:dyDescent="0.2">
      <c r="A184" s="318" t="s">
        <v>431</v>
      </c>
      <c r="B184" s="271" t="str">
        <f>IF(ISERROR(B164/B160),"",IF(B164/B160=0,"",B164/B160))</f>
        <v/>
      </c>
      <c r="C184" s="271" t="str">
        <f>IF(ISERROR(C164/C160),"",IF(C164/C160=0,"",C164/C160))</f>
        <v/>
      </c>
      <c r="D184" s="271" t="str">
        <f t="shared" ref="D184:U184" si="58">IF(ISERROR(D164/D160),"",IF(D164/D160=0,"",D164/D160))</f>
        <v/>
      </c>
      <c r="E184" s="271" t="str">
        <f t="shared" si="58"/>
        <v/>
      </c>
      <c r="F184" s="271">
        <f t="shared" si="58"/>
        <v>0.31446540880503149</v>
      </c>
      <c r="G184" s="271">
        <f t="shared" si="58"/>
        <v>0.20953569443828748</v>
      </c>
      <c r="H184" s="271">
        <f t="shared" si="58"/>
        <v>0.16538362395749659</v>
      </c>
      <c r="I184" s="271">
        <f t="shared" si="58"/>
        <v>0.14732362488140044</v>
      </c>
      <c r="J184" s="271">
        <f t="shared" si="58"/>
        <v>0.13410934251528595</v>
      </c>
      <c r="K184" s="271">
        <f t="shared" si="58"/>
        <v>0.12497610808308754</v>
      </c>
      <c r="L184" s="271">
        <f t="shared" si="58"/>
        <v>0.1197647259385414</v>
      </c>
      <c r="M184" s="271" t="str">
        <f t="shared" si="58"/>
        <v/>
      </c>
      <c r="N184" s="271" t="str">
        <f t="shared" si="58"/>
        <v/>
      </c>
      <c r="O184" s="271" t="str">
        <f t="shared" si="58"/>
        <v/>
      </c>
      <c r="P184" s="271" t="str">
        <f t="shared" si="58"/>
        <v/>
      </c>
      <c r="Q184" s="271" t="str">
        <f t="shared" si="58"/>
        <v/>
      </c>
      <c r="R184" s="271" t="str">
        <f t="shared" si="58"/>
        <v/>
      </c>
      <c r="S184" s="271" t="str">
        <f t="shared" si="58"/>
        <v/>
      </c>
      <c r="T184" s="271" t="str">
        <f t="shared" si="58"/>
        <v/>
      </c>
      <c r="U184" s="271" t="str">
        <f t="shared" si="58"/>
        <v/>
      </c>
      <c r="V184" s="618"/>
    </row>
    <row r="185" spans="1:22" s="320" customFormat="1" ht="26.25" hidden="1" customHeight="1" x14ac:dyDescent="0.2">
      <c r="A185" s="319" t="s">
        <v>397</v>
      </c>
      <c r="B185" s="275">
        <f>B221</f>
        <v>5</v>
      </c>
      <c r="C185" s="275">
        <f>C221</f>
        <v>35</v>
      </c>
      <c r="D185" s="275">
        <f t="shared" ref="D185:U185" si="59">D221</f>
        <v>48</v>
      </c>
      <c r="E185" s="275">
        <f t="shared" si="59"/>
        <v>55</v>
      </c>
      <c r="F185" s="275">
        <f t="shared" si="59"/>
        <v>82</v>
      </c>
      <c r="G185" s="275">
        <f t="shared" si="59"/>
        <v>78</v>
      </c>
      <c r="H185" s="275">
        <f t="shared" si="59"/>
        <v>86</v>
      </c>
      <c r="I185" s="275">
        <f t="shared" si="59"/>
        <v>87</v>
      </c>
      <c r="J185" s="275">
        <f t="shared" si="59"/>
        <v>87</v>
      </c>
      <c r="K185" s="275">
        <f t="shared" si="59"/>
        <v>85</v>
      </c>
      <c r="L185" s="275">
        <f t="shared" si="59"/>
        <v>82</v>
      </c>
      <c r="M185" s="275" t="str">
        <f t="shared" si="59"/>
        <v/>
      </c>
      <c r="N185" s="275" t="str">
        <f t="shared" si="59"/>
        <v/>
      </c>
      <c r="O185" s="275" t="str">
        <f t="shared" si="59"/>
        <v/>
      </c>
      <c r="P185" s="275" t="str">
        <f t="shared" si="59"/>
        <v/>
      </c>
      <c r="Q185" s="275" t="str">
        <f t="shared" si="59"/>
        <v/>
      </c>
      <c r="R185" s="275" t="str">
        <f t="shared" si="59"/>
        <v/>
      </c>
      <c r="S185" s="275" t="str">
        <f t="shared" si="59"/>
        <v/>
      </c>
      <c r="T185" s="275" t="str">
        <f t="shared" si="59"/>
        <v/>
      </c>
      <c r="U185" s="275" t="str">
        <f t="shared" si="59"/>
        <v/>
      </c>
      <c r="V185" s="624"/>
    </row>
    <row r="186" spans="1:22" ht="14.25" hidden="1" customHeight="1" x14ac:dyDescent="0.2">
      <c r="A186" s="287" t="s">
        <v>429</v>
      </c>
      <c r="B186" s="256" t="str">
        <f>IF(ISERROR('Oper.St.'!C73/'Oper.St.'!C65),"",IF('Oper.St.'!C73/'Oper.St.'!C65=0,"",'Oper.St.'!C73/'Oper.St.'!C65))</f>
        <v/>
      </c>
      <c r="C186" s="256" t="str">
        <f>IF(ISERROR('Oper.St.'!D73/'Oper.St.'!D65),"",IF('Oper.St.'!D73/'Oper.St.'!D65=0,"",'Oper.St.'!D73/'Oper.St.'!D65))</f>
        <v/>
      </c>
      <c r="D186" s="256">
        <f>IF(ISERROR('Oper.St.'!E73/'Oper.St.'!E65),"",IF('Oper.St.'!E73/'Oper.St.'!E65=0,"",'Oper.St.'!E73/'Oper.St.'!E65))</f>
        <v>2.5</v>
      </c>
      <c r="E186" s="256">
        <f>IF(ISERROR('Oper.St.'!F73/'Oper.St.'!F65),"",IF('Oper.St.'!F73/'Oper.St.'!F65=0,"",'Oper.St.'!F73/'Oper.St.'!F65))</f>
        <v>23.499999999999996</v>
      </c>
      <c r="F186" s="256">
        <f>IF(ISERROR('Oper.St.'!G73/'Oper.St.'!G65),"",IF('Oper.St.'!G73/'Oper.St.'!G65=0,"",'Oper.St.'!G73/'Oper.St.'!G65))</f>
        <v>7.672849915682968E-2</v>
      </c>
      <c r="G186" s="256">
        <f>IF(ISERROR('Oper.St.'!H73/'Oper.St.'!H65),"",IF('Oper.St.'!H73/'Oper.St.'!H65=0,"",'Oper.St.'!H73/'Oper.St.'!H65))</f>
        <v>5.0230550699300713E-2</v>
      </c>
      <c r="H186" s="256">
        <f>IF(ISERROR('Oper.St.'!I73/'Oper.St.'!I65),"",IF('Oper.St.'!I73/'Oper.St.'!I65=0,"",'Oper.St.'!I73/'Oper.St.'!I65))</f>
        <v>3.527521929824564E-2</v>
      </c>
      <c r="I186" s="256">
        <f>IF(ISERROR('Oper.St.'!J73/'Oper.St.'!J65),"",IF('Oper.St.'!J73/'Oper.St.'!J65=0,"",'Oper.St.'!J73/'Oper.St.'!J65))</f>
        <v>2.8123992612491638E-2</v>
      </c>
      <c r="J186" s="256">
        <f>IF(ISERROR('Oper.St.'!K73/'Oper.St.'!K65),"",IF('Oper.St.'!K73/'Oper.St.'!K65=0,"",'Oper.St.'!K73/'Oper.St.'!K65))</f>
        <v>2.1106412639405235E-2</v>
      </c>
      <c r="K186" s="256">
        <f>IF(ISERROR('Oper.St.'!L73/'Oper.St.'!L65),"",IF('Oper.St.'!L73/'Oper.St.'!L65=0,"",'Oper.St.'!L73/'Oper.St.'!L65))</f>
        <v>1.4404659188956021E-2</v>
      </c>
      <c r="L186" s="256">
        <f>IF(ISERROR('Oper.St.'!M73/'Oper.St.'!M65),"",IF('Oper.St.'!M73/'Oper.St.'!M65=0,"",'Oper.St.'!M73/'Oper.St.'!M65))</f>
        <v>7.7636718750000245E-3</v>
      </c>
      <c r="M186" s="256" t="str">
        <f>IF(ISERROR('Oper.St.'!N73/'Oper.St.'!N65),"",IF('Oper.St.'!N73/'Oper.St.'!N65=0,"",'Oper.St.'!N73/'Oper.St.'!N65))</f>
        <v/>
      </c>
      <c r="N186" s="256" t="str">
        <f>IF(ISERROR('Oper.St.'!O73/'Oper.St.'!O65),"",IF('Oper.St.'!O73/'Oper.St.'!O65=0,"",'Oper.St.'!O73/'Oper.St.'!O65))</f>
        <v/>
      </c>
      <c r="O186" s="256" t="str">
        <f>IF(ISERROR('Oper.St.'!P73/'Oper.St.'!P65),"",IF('Oper.St.'!P73/'Oper.St.'!P65=0,"",'Oper.St.'!P73/'Oper.St.'!P65))</f>
        <v/>
      </c>
      <c r="P186" s="256" t="str">
        <f>IF(ISERROR('Oper.St.'!Q73/'Oper.St.'!Q65),"",IF('Oper.St.'!Q73/'Oper.St.'!Q65=0,"",'Oper.St.'!Q73/'Oper.St.'!Q65))</f>
        <v/>
      </c>
      <c r="Q186" s="256" t="str">
        <f>IF(ISERROR('Oper.St.'!R73/'Oper.St.'!R65),"",IF('Oper.St.'!R73/'Oper.St.'!R65=0,"",'Oper.St.'!R73/'Oper.St.'!R65))</f>
        <v/>
      </c>
      <c r="R186" s="256" t="str">
        <f>IF(ISERROR('Oper.St.'!S73/'Oper.St.'!S65),"",IF('Oper.St.'!S73/'Oper.St.'!S65=0,"",'Oper.St.'!S73/'Oper.St.'!S65))</f>
        <v/>
      </c>
      <c r="S186" s="256" t="str">
        <f>IF(ISERROR('Oper.St.'!T73/'Oper.St.'!T65),"",IF('Oper.St.'!T73/'Oper.St.'!T65=0,"",'Oper.St.'!T73/'Oper.St.'!T65))</f>
        <v/>
      </c>
      <c r="T186" s="256" t="str">
        <f>IF(ISERROR('Oper.St.'!U73/'Oper.St.'!U65),"",IF('Oper.St.'!U73/'Oper.St.'!U65=0,"",'Oper.St.'!U73/'Oper.St.'!U65))</f>
        <v/>
      </c>
      <c r="U186" s="256" t="str">
        <f>IF(ISERROR('Oper.St.'!V73/'Oper.St.'!V65),"",IF('Oper.St.'!V73/'Oper.St.'!V65=0,"",'Oper.St.'!V73/'Oper.St.'!V65))</f>
        <v/>
      </c>
      <c r="V186" s="612"/>
    </row>
    <row r="187" spans="1:22" ht="14.25" hidden="1" customHeight="1" x14ac:dyDescent="0.2">
      <c r="A187" s="287" t="s">
        <v>434</v>
      </c>
      <c r="B187" s="256" t="str">
        <f>IF(ISERROR(B164/'Oper.St.'!C17),"",IF(B164/'Oper.St.'!C17=0,"",B164/'Oper.St.'!C17))</f>
        <v/>
      </c>
      <c r="C187" s="256" t="str">
        <f>IF(ISERROR(C164/'Oper.St.'!D17),"",IF(C164/'Oper.St.'!D17=0,"",C164/'Oper.St.'!D17))</f>
        <v/>
      </c>
      <c r="D187" s="256" t="str">
        <f>IF(ISERROR(D164/'Oper.St.'!E17),"",IF(D164/'Oper.St.'!E17=0,"",D164/'Oper.St.'!E17))</f>
        <v/>
      </c>
      <c r="E187" s="256" t="str">
        <f>IF(ISERROR(E164/'Oper.St.'!F17),"",IF(E164/'Oper.St.'!F17=0,"",E164/'Oper.St.'!F17))</f>
        <v/>
      </c>
      <c r="F187" s="256">
        <f>IF(ISERROR(F164/'Oper.St.'!G17),"",IF(F164/'Oper.St.'!G17=0,"",F164/'Oper.St.'!G17))</f>
        <v>0.1</v>
      </c>
      <c r="G187" s="256">
        <f>IF(ISERROR(G164/'Oper.St.'!H17),"",IF(G164/'Oper.St.'!H17=0,"",G164/'Oper.St.'!H17))</f>
        <v>5.8343057176196034E-2</v>
      </c>
      <c r="H187" s="256">
        <f>IF(ISERROR(H164/'Oper.St.'!I17),"",IF(H164/'Oper.St.'!I17=0,"",H164/'Oper.St.'!I17))</f>
        <v>4.9480455220188027E-2</v>
      </c>
      <c r="I187" s="256">
        <f>IF(ISERROR(I164/'Oper.St.'!J17),"",IF(I164/'Oper.St.'!J17=0,"",I164/'Oper.St.'!J17))</f>
        <v>4.5361760036289403E-2</v>
      </c>
      <c r="J187" s="256">
        <f>IF(ISERROR(J164/'Oper.St.'!K17),"",IF(J164/'Oper.St.'!K17=0,"",J164/'Oper.St.'!K17))</f>
        <v>4.1701417848206836E-2</v>
      </c>
      <c r="K187" s="256">
        <f>IF(ISERROR(K164/'Oper.St.'!L17),"",IF(K164/'Oper.St.'!L17=0,"",K164/'Oper.St.'!L17))</f>
        <v>3.8439361906592348E-2</v>
      </c>
      <c r="L187" s="256">
        <f>IF(ISERROR(L164/'Oper.St.'!M17),"",IF(L164/'Oper.St.'!M17=0,"",L164/'Oper.St.'!M17))</f>
        <v>3.5587188612099641E-2</v>
      </c>
      <c r="M187" s="256" t="str">
        <f>IF(ISERROR(M164/'Oper.St.'!N17),"",IF(M164/'Oper.St.'!N17=0,"",M164/'Oper.St.'!N17))</f>
        <v/>
      </c>
      <c r="N187" s="256" t="str">
        <f>IF(ISERROR(N164/'Oper.St.'!O17),"",IF(N164/'Oper.St.'!O17=0,"",N164/'Oper.St.'!O17))</f>
        <v/>
      </c>
      <c r="O187" s="256" t="str">
        <f>IF(ISERROR(O164/'Oper.St.'!P17),"",IF(O164/'Oper.St.'!P17=0,"",O164/'Oper.St.'!P17))</f>
        <v/>
      </c>
      <c r="P187" s="256" t="str">
        <f>IF(ISERROR(P164/'Oper.St.'!Q17),"",IF(P164/'Oper.St.'!Q17=0,"",P164/'Oper.St.'!Q17))</f>
        <v/>
      </c>
      <c r="Q187" s="256" t="str">
        <f>IF(ISERROR(Q164/'Oper.St.'!R17),"",IF(Q164/'Oper.St.'!R17=0,"",Q164/'Oper.St.'!R17))</f>
        <v/>
      </c>
      <c r="R187" s="256" t="str">
        <f>IF(ISERROR(R164/'Oper.St.'!S17),"",IF(R164/'Oper.St.'!S17=0,"",R164/'Oper.St.'!S17))</f>
        <v/>
      </c>
      <c r="S187" s="256" t="str">
        <f>IF(ISERROR(S164/'Oper.St.'!T17),"",IF(S164/'Oper.St.'!T17=0,"",S164/'Oper.St.'!T17))</f>
        <v/>
      </c>
      <c r="T187" s="256" t="str">
        <f>IF(ISERROR(T164/'Oper.St.'!U17),"",IF(T164/'Oper.St.'!U17=0,"",T164/'Oper.St.'!U17))</f>
        <v/>
      </c>
      <c r="U187" s="256" t="str">
        <f>IF(ISERROR(U164/'Oper.St.'!V17),"",IF(U164/'Oper.St.'!V17=0,"",U164/'Oper.St.'!V17))</f>
        <v/>
      </c>
      <c r="V187" s="612"/>
    </row>
    <row r="188" spans="1:22" ht="23.25" hidden="1" customHeight="1" x14ac:dyDescent="0.2">
      <c r="A188" s="401" t="s">
        <v>893</v>
      </c>
      <c r="B188" s="255"/>
      <c r="C188" s="255"/>
      <c r="D188" s="255"/>
      <c r="E188" s="255"/>
      <c r="F188" s="255"/>
      <c r="G188" s="255"/>
      <c r="H188" s="255"/>
      <c r="I188" s="255"/>
      <c r="J188" s="255"/>
      <c r="K188" s="255"/>
      <c r="L188" s="255"/>
      <c r="M188" s="255"/>
      <c r="N188" s="255"/>
      <c r="O188" s="255"/>
      <c r="P188" s="255"/>
      <c r="Q188" s="255"/>
      <c r="R188" s="255"/>
      <c r="S188" s="255"/>
      <c r="T188" s="255"/>
      <c r="U188" s="255"/>
      <c r="V188" s="612"/>
    </row>
    <row r="189" spans="1:22" s="75" customFormat="1" ht="12" hidden="1" customHeight="1" x14ac:dyDescent="0.2">
      <c r="A189" s="308" t="s">
        <v>323</v>
      </c>
      <c r="B189" s="290">
        <f>B215</f>
        <v>1.31</v>
      </c>
      <c r="C189" s="290">
        <f>C215</f>
        <v>2.4700000000000002</v>
      </c>
      <c r="D189" s="290">
        <f t="shared" ref="D189:U189" si="60">D215</f>
        <v>0.55000000000000004</v>
      </c>
      <c r="E189" s="290">
        <f t="shared" si="60"/>
        <v>0.64</v>
      </c>
      <c r="F189" s="290">
        <f t="shared" si="60"/>
        <v>1.37</v>
      </c>
      <c r="G189" s="290">
        <f t="shared" si="60"/>
        <v>1.71</v>
      </c>
      <c r="H189" s="290">
        <f t="shared" si="60"/>
        <v>1.97</v>
      </c>
      <c r="I189" s="290">
        <f t="shared" si="60"/>
        <v>2.2400000000000002</v>
      </c>
      <c r="J189" s="290">
        <f t="shared" si="60"/>
        <v>2.4300000000000002</v>
      </c>
      <c r="K189" s="290">
        <f t="shared" si="60"/>
        <v>2.4300000000000002</v>
      </c>
      <c r="L189" s="290">
        <f t="shared" si="60"/>
        <v>4.78</v>
      </c>
      <c r="M189" s="290" t="str">
        <f t="shared" si="60"/>
        <v/>
      </c>
      <c r="N189" s="290" t="str">
        <f t="shared" si="60"/>
        <v/>
      </c>
      <c r="O189" s="290" t="str">
        <f t="shared" si="60"/>
        <v/>
      </c>
      <c r="P189" s="290" t="str">
        <f t="shared" si="60"/>
        <v/>
      </c>
      <c r="Q189" s="290" t="str">
        <f t="shared" si="60"/>
        <v/>
      </c>
      <c r="R189" s="290" t="str">
        <f t="shared" si="60"/>
        <v/>
      </c>
      <c r="S189" s="290" t="str">
        <f t="shared" si="60"/>
        <v/>
      </c>
      <c r="T189" s="290" t="str">
        <f t="shared" si="60"/>
        <v/>
      </c>
      <c r="U189" s="290" t="str">
        <f t="shared" si="60"/>
        <v/>
      </c>
      <c r="V189" s="621"/>
    </row>
    <row r="190" spans="1:22" s="75" customFormat="1" ht="12" hidden="1" customHeight="1" x14ac:dyDescent="0.2">
      <c r="A190" s="309" t="s">
        <v>894</v>
      </c>
      <c r="B190" s="399" t="str">
        <f>IF(ISERROR(('CRA Validation'!B189-INPUT!C200)/INPUT!C200),"",('CRA Validation'!B189-INPUT!C200)/INPUT!C200)</f>
        <v/>
      </c>
      <c r="C190" s="399" t="str">
        <f>IF(ISERROR(('CRA Validation'!C189-INPUT!D200)/INPUT!D200),"",('CRA Validation'!C189-INPUT!D200)/INPUT!D200)</f>
        <v/>
      </c>
      <c r="D190" s="399" t="str">
        <f>IF(ISERROR(('CRA Validation'!D189-INPUT!E200)/INPUT!E200),"",('CRA Validation'!D189-INPUT!E200)/INPUT!E200)</f>
        <v/>
      </c>
      <c r="E190" s="399" t="str">
        <f>IF(ISERROR(('CRA Validation'!E189-INPUT!F200)/INPUT!F200),"",('CRA Validation'!E189-INPUT!F200)/INPUT!F200)</f>
        <v/>
      </c>
      <c r="F190" s="399" t="str">
        <f>IF(ISERROR(('CRA Validation'!F189-INPUT!G200)/INPUT!G200),"",('CRA Validation'!F189-INPUT!G200)/INPUT!G200)</f>
        <v/>
      </c>
      <c r="G190" s="399" t="str">
        <f>IF(ISERROR(('CRA Validation'!G189-INPUT!H200)/INPUT!H200),"",('CRA Validation'!G189-INPUT!H200)/INPUT!H200)</f>
        <v/>
      </c>
      <c r="H190" s="399" t="str">
        <f>IF(ISERROR(('CRA Validation'!H189-INPUT!I200)/INPUT!I200),"",('CRA Validation'!H189-INPUT!I200)/INPUT!I200)</f>
        <v/>
      </c>
      <c r="I190" s="399" t="str">
        <f>IF(ISERROR(('CRA Validation'!I189-INPUT!J200)/INPUT!J200),"",('CRA Validation'!I189-INPUT!J200)/INPUT!J200)</f>
        <v/>
      </c>
      <c r="J190" s="399" t="str">
        <f>IF(ISERROR(('CRA Validation'!J189-INPUT!K200)/INPUT!K200),"",('CRA Validation'!J189-INPUT!K200)/INPUT!K200)</f>
        <v/>
      </c>
      <c r="K190" s="399" t="str">
        <f>IF(ISERROR(('CRA Validation'!K189-INPUT!L200)/INPUT!L200),"",('CRA Validation'!K189-INPUT!L200)/INPUT!L200)</f>
        <v/>
      </c>
      <c r="L190" s="399" t="str">
        <f>IF(ISERROR(('CRA Validation'!L189-INPUT!M200)/INPUT!M200),"",('CRA Validation'!L189-INPUT!M200)/INPUT!M200)</f>
        <v/>
      </c>
      <c r="M190" s="399" t="str">
        <f>IF(ISERROR(('CRA Validation'!M189-INPUT!N200)/INPUT!N200),"",('CRA Validation'!M189-INPUT!N200)/INPUT!N200)</f>
        <v/>
      </c>
      <c r="N190" s="399" t="str">
        <f>IF(ISERROR(('CRA Validation'!N189-INPUT!O200)/INPUT!O200),"",('CRA Validation'!N189-INPUT!O200)/INPUT!O200)</f>
        <v/>
      </c>
      <c r="O190" s="399" t="str">
        <f>IF(ISERROR(('CRA Validation'!O189-INPUT!P200)/INPUT!P200),"",('CRA Validation'!O189-INPUT!P200)/INPUT!P200)</f>
        <v/>
      </c>
      <c r="P190" s="399" t="str">
        <f>IF(ISERROR(('CRA Validation'!P189-INPUT!Q200)/INPUT!Q200),"",('CRA Validation'!P189-INPUT!Q200)/INPUT!Q200)</f>
        <v/>
      </c>
      <c r="Q190" s="399" t="str">
        <f>IF(ISERROR(('CRA Validation'!Q189-INPUT!R200)/INPUT!R200),"",('CRA Validation'!Q189-INPUT!R200)/INPUT!R200)</f>
        <v/>
      </c>
      <c r="R190" s="399" t="str">
        <f>IF(ISERROR(('CRA Validation'!R189-INPUT!S200)/INPUT!S200),"",('CRA Validation'!R189-INPUT!S200)/INPUT!S200)</f>
        <v/>
      </c>
      <c r="S190" s="399" t="str">
        <f>IF(ISERROR(('CRA Validation'!S189-INPUT!T200)/INPUT!T200),"",('CRA Validation'!S189-INPUT!T200)/INPUT!T200)</f>
        <v/>
      </c>
      <c r="T190" s="399" t="str">
        <f>IF(ISERROR(('CRA Validation'!T189-INPUT!U200)/INPUT!U200),"",('CRA Validation'!T189-INPUT!U200)/INPUT!U200)</f>
        <v/>
      </c>
      <c r="U190" s="399" t="str">
        <f>IF(ISERROR(('CRA Validation'!U189-INPUT!V200)/INPUT!V200),"",('CRA Validation'!U189-INPUT!V200)/INPUT!V200)</f>
        <v/>
      </c>
      <c r="V190" s="621"/>
    </row>
    <row r="191" spans="1:22" s="312" customFormat="1" ht="12" hidden="1" customHeight="1" x14ac:dyDescent="0.2">
      <c r="A191" s="310" t="s">
        <v>20</v>
      </c>
      <c r="B191" s="290">
        <f>B214</f>
        <v>2.5</v>
      </c>
      <c r="C191" s="290">
        <f>C214</f>
        <v>1.59</v>
      </c>
      <c r="D191" s="290">
        <f t="shared" ref="D191:U191" si="61">D214</f>
        <v>10.02</v>
      </c>
      <c r="E191" s="290">
        <f t="shared" si="61"/>
        <v>0.77</v>
      </c>
      <c r="F191" s="290">
        <f t="shared" si="61"/>
        <v>1.38</v>
      </c>
      <c r="G191" s="290">
        <f t="shared" si="61"/>
        <v>1.2</v>
      </c>
      <c r="H191" s="290">
        <f t="shared" si="61"/>
        <v>0.97</v>
      </c>
      <c r="I191" s="290">
        <f t="shared" si="61"/>
        <v>0.72</v>
      </c>
      <c r="J191" s="290">
        <f t="shared" si="61"/>
        <v>0.51</v>
      </c>
      <c r="K191" s="290">
        <f t="shared" si="61"/>
        <v>0.33</v>
      </c>
      <c r="L191" s="290">
        <f t="shared" si="61"/>
        <v>0.15</v>
      </c>
      <c r="M191" s="290" t="str">
        <f t="shared" si="61"/>
        <v/>
      </c>
      <c r="N191" s="290" t="str">
        <f t="shared" si="61"/>
        <v/>
      </c>
      <c r="O191" s="290" t="str">
        <f t="shared" si="61"/>
        <v/>
      </c>
      <c r="P191" s="290" t="str">
        <f t="shared" si="61"/>
        <v/>
      </c>
      <c r="Q191" s="290" t="str">
        <f t="shared" si="61"/>
        <v/>
      </c>
      <c r="R191" s="290" t="str">
        <f t="shared" si="61"/>
        <v/>
      </c>
      <c r="S191" s="290" t="str">
        <f t="shared" si="61"/>
        <v/>
      </c>
      <c r="T191" s="290" t="str">
        <f t="shared" si="61"/>
        <v/>
      </c>
      <c r="U191" s="290" t="str">
        <f t="shared" si="61"/>
        <v/>
      </c>
      <c r="V191" s="622"/>
    </row>
    <row r="192" spans="1:22" s="312" customFormat="1" ht="12" hidden="1" customHeight="1" x14ac:dyDescent="0.2">
      <c r="A192" s="313" t="s">
        <v>894</v>
      </c>
      <c r="B192" s="399" t="str">
        <f>IF(ISERROR((INPUT!C201-B191)/INPUT!C201),"",(INPUT!C201-B191)/INPUT!C201)</f>
        <v/>
      </c>
      <c r="C192" s="399" t="str">
        <f>IF(ISERROR((INPUT!D201-C191)/INPUT!D201),"",(INPUT!D201-C191)/INPUT!D201)</f>
        <v/>
      </c>
      <c r="D192" s="399" t="str">
        <f>IF(ISERROR((INPUT!E201-D191)/INPUT!E201),"",(INPUT!E201-D191)/INPUT!E201)</f>
        <v/>
      </c>
      <c r="E192" s="399" t="str">
        <f>IF(ISERROR((INPUT!F201-E191)/INPUT!F201),"",(INPUT!F201-E191)/INPUT!F201)</f>
        <v/>
      </c>
      <c r="F192" s="399" t="str">
        <f>IF(ISERROR((INPUT!G201-F191)/INPUT!G201),"",(INPUT!G201-F191)/INPUT!G201)</f>
        <v/>
      </c>
      <c r="G192" s="399" t="str">
        <f>IF(ISERROR((INPUT!H201-G191)/INPUT!H201),"",(INPUT!H201-G191)/INPUT!H201)</f>
        <v/>
      </c>
      <c r="H192" s="399" t="str">
        <f>IF(ISERROR((INPUT!I201-H191)/INPUT!I201),"",(INPUT!I201-H191)/INPUT!I201)</f>
        <v/>
      </c>
      <c r="I192" s="399" t="str">
        <f>IF(ISERROR((INPUT!J201-I191)/INPUT!J201),"",(INPUT!J201-I191)/INPUT!J201)</f>
        <v/>
      </c>
      <c r="J192" s="399" t="str">
        <f>IF(ISERROR((INPUT!K201-J191)/INPUT!K201),"",(INPUT!K201-J191)/INPUT!K201)</f>
        <v/>
      </c>
      <c r="K192" s="399" t="str">
        <f>IF(ISERROR((INPUT!L201-K191)/INPUT!L201),"",(INPUT!L201-K191)/INPUT!L201)</f>
        <v/>
      </c>
      <c r="L192" s="399" t="str">
        <f>IF(ISERROR((INPUT!M201-L191)/INPUT!M201),"",(INPUT!M201-L191)/INPUT!M201)</f>
        <v/>
      </c>
      <c r="M192" s="399" t="str">
        <f>IF(ISERROR((INPUT!N201-M191)/INPUT!N201),"",(INPUT!N201-M191)/INPUT!N201)</f>
        <v/>
      </c>
      <c r="N192" s="399" t="str">
        <f>IF(ISERROR((INPUT!O201-N191)/INPUT!O201),"",(INPUT!O201-N191)/INPUT!O201)</f>
        <v/>
      </c>
      <c r="O192" s="399" t="str">
        <f>IF(ISERROR((INPUT!P201-O191)/INPUT!P201),"",(INPUT!P201-O191)/INPUT!P201)</f>
        <v/>
      </c>
      <c r="P192" s="399" t="str">
        <f>IF(ISERROR((INPUT!Q201-P191)/INPUT!Q201),"",(INPUT!Q201-P191)/INPUT!Q201)</f>
        <v/>
      </c>
      <c r="Q192" s="399" t="str">
        <f>IF(ISERROR((INPUT!R201-Q191)/INPUT!R201),"",(INPUT!R201-Q191)/INPUT!R201)</f>
        <v/>
      </c>
      <c r="R192" s="399" t="str">
        <f>IF(ISERROR((INPUT!S201-R191)/INPUT!S201),"",(INPUT!S201-R191)/INPUT!S201)</f>
        <v/>
      </c>
      <c r="S192" s="399" t="str">
        <f>IF(ISERROR((INPUT!T201-S191)/INPUT!T201),"",(INPUT!T201-S191)/INPUT!T201)</f>
        <v/>
      </c>
      <c r="T192" s="399" t="str">
        <f>IF(ISERROR((INPUT!U201-T191)/INPUT!U201),"",(INPUT!U201-T191)/INPUT!U201)</f>
        <v/>
      </c>
      <c r="U192" s="399" t="str">
        <f>IF(ISERROR((INPUT!V201-U191)/INPUT!V201),"",(INPUT!V201-U191)/INPUT!V201)</f>
        <v/>
      </c>
      <c r="V192" s="622"/>
    </row>
    <row r="193" spans="1:22" s="75" customFormat="1" ht="12" hidden="1" customHeight="1" x14ac:dyDescent="0.2">
      <c r="A193" s="308" t="s">
        <v>890</v>
      </c>
      <c r="B193" s="290" t="str">
        <f>IF(ISERROR(ROUND(B49,2)),"",ROUND(B49,2))</f>
        <v/>
      </c>
      <c r="C193" s="290" t="str">
        <f>IF(ISERROR(ROUND(C49,2)),"",ROUND(C49,2))</f>
        <v/>
      </c>
      <c r="D193" s="290">
        <f t="shared" ref="D193:U193" si="62">IF(ISERROR(ROUND(D49,2)),"",ROUND(D49,2))</f>
        <v>9</v>
      </c>
      <c r="E193" s="290">
        <f t="shared" si="62"/>
        <v>1.7</v>
      </c>
      <c r="F193" s="290">
        <f t="shared" si="62"/>
        <v>3.6</v>
      </c>
      <c r="G193" s="290">
        <f t="shared" si="62"/>
        <v>4.6500000000000004</v>
      </c>
      <c r="H193" s="290">
        <f t="shared" si="62"/>
        <v>5.65</v>
      </c>
      <c r="I193" s="290">
        <f t="shared" si="62"/>
        <v>6.35</v>
      </c>
      <c r="J193" s="290">
        <f t="shared" si="62"/>
        <v>7.6</v>
      </c>
      <c r="K193" s="290">
        <f t="shared" si="62"/>
        <v>10.18</v>
      </c>
      <c r="L193" s="290">
        <f t="shared" si="62"/>
        <v>17.940000000000001</v>
      </c>
      <c r="M193" s="290" t="str">
        <f t="shared" si="62"/>
        <v/>
      </c>
      <c r="N193" s="290" t="str">
        <f t="shared" si="62"/>
        <v/>
      </c>
      <c r="O193" s="290" t="str">
        <f t="shared" si="62"/>
        <v/>
      </c>
      <c r="P193" s="290" t="str">
        <f t="shared" si="62"/>
        <v/>
      </c>
      <c r="Q193" s="290" t="str">
        <f t="shared" si="62"/>
        <v/>
      </c>
      <c r="R193" s="290" t="str">
        <f t="shared" si="62"/>
        <v/>
      </c>
      <c r="S193" s="290" t="str">
        <f t="shared" si="62"/>
        <v/>
      </c>
      <c r="T193" s="290" t="str">
        <f t="shared" si="62"/>
        <v/>
      </c>
      <c r="U193" s="290" t="str">
        <f t="shared" si="62"/>
        <v/>
      </c>
      <c r="V193" s="621"/>
    </row>
    <row r="194" spans="1:22" s="75" customFormat="1" ht="12" hidden="1" customHeight="1" x14ac:dyDescent="0.2">
      <c r="A194" s="309" t="s">
        <v>894</v>
      </c>
      <c r="B194" s="399" t="str">
        <f>IF(ISERROR(('CRA Validation'!B193-INPUT!C202)/INPUT!C202),"",('CRA Validation'!B193-INPUT!C202)/INPUT!C202)</f>
        <v/>
      </c>
      <c r="C194" s="399" t="str">
        <f>IF(ISERROR(('CRA Validation'!C193-INPUT!D202)/INPUT!D202),"",('CRA Validation'!C193-INPUT!D202)/INPUT!D202)</f>
        <v/>
      </c>
      <c r="D194" s="399" t="str">
        <f>IF(ISERROR(('CRA Validation'!D193-INPUT!E202)/INPUT!E202),"",('CRA Validation'!D193-INPUT!E202)/INPUT!E202)</f>
        <v/>
      </c>
      <c r="E194" s="399" t="str">
        <f>IF(ISERROR(('CRA Validation'!E193-INPUT!F202)/INPUT!F202),"",('CRA Validation'!E193-INPUT!F202)/INPUT!F202)</f>
        <v/>
      </c>
      <c r="F194" s="399" t="str">
        <f>IF(ISERROR(('CRA Validation'!F193-INPUT!G202)/INPUT!G202),"",('CRA Validation'!F193-INPUT!G202)/INPUT!G202)</f>
        <v/>
      </c>
      <c r="G194" s="399" t="str">
        <f>IF(ISERROR(('CRA Validation'!G193-INPUT!H202)/INPUT!H202),"",('CRA Validation'!G193-INPUT!H202)/INPUT!H202)</f>
        <v/>
      </c>
      <c r="H194" s="399" t="str">
        <f>IF(ISERROR(('CRA Validation'!H193-INPUT!I202)/INPUT!I202),"",('CRA Validation'!H193-INPUT!I202)/INPUT!I202)</f>
        <v/>
      </c>
      <c r="I194" s="399" t="str">
        <f>IF(ISERROR(('CRA Validation'!I193-INPUT!J202)/INPUT!J202),"",('CRA Validation'!I193-INPUT!J202)/INPUT!J202)</f>
        <v/>
      </c>
      <c r="J194" s="399" t="str">
        <f>IF(ISERROR(('CRA Validation'!J193-INPUT!K202)/INPUT!K202),"",('CRA Validation'!J193-INPUT!K202)/INPUT!K202)</f>
        <v/>
      </c>
      <c r="K194" s="399" t="str">
        <f>IF(ISERROR(('CRA Validation'!K193-INPUT!L202)/INPUT!L202),"",('CRA Validation'!K193-INPUT!L202)/INPUT!L202)</f>
        <v/>
      </c>
      <c r="L194" s="399" t="str">
        <f>IF(ISERROR(('CRA Validation'!L193-INPUT!M202)/INPUT!M202),"",('CRA Validation'!L193-INPUT!M202)/INPUT!M202)</f>
        <v/>
      </c>
      <c r="M194" s="399" t="str">
        <f>IF(ISERROR(('CRA Validation'!M193-INPUT!N202)/INPUT!N202),"",('CRA Validation'!M193-INPUT!N202)/INPUT!N202)</f>
        <v/>
      </c>
      <c r="N194" s="399" t="str">
        <f>IF(ISERROR(('CRA Validation'!N193-INPUT!O202)/INPUT!O202),"",('CRA Validation'!N193-INPUT!O202)/INPUT!O202)</f>
        <v/>
      </c>
      <c r="O194" s="399" t="str">
        <f>IF(ISERROR(('CRA Validation'!O193-INPUT!P202)/INPUT!P202),"",('CRA Validation'!O193-INPUT!P202)/INPUT!P202)</f>
        <v/>
      </c>
      <c r="P194" s="399" t="str">
        <f>IF(ISERROR(('CRA Validation'!P193-INPUT!Q202)/INPUT!Q202),"",('CRA Validation'!P193-INPUT!Q202)/INPUT!Q202)</f>
        <v/>
      </c>
      <c r="Q194" s="399" t="str">
        <f>IF(ISERROR(('CRA Validation'!Q193-INPUT!R202)/INPUT!R202),"",('CRA Validation'!Q193-INPUT!R202)/INPUT!R202)</f>
        <v/>
      </c>
      <c r="R194" s="399" t="str">
        <f>IF(ISERROR(('CRA Validation'!R193-INPUT!S202)/INPUT!S202),"",('CRA Validation'!R193-INPUT!S202)/INPUT!S202)</f>
        <v/>
      </c>
      <c r="S194" s="399" t="str">
        <f>IF(ISERROR(('CRA Validation'!S193-INPUT!T202)/INPUT!T202),"",('CRA Validation'!S193-INPUT!T202)/INPUT!T202)</f>
        <v/>
      </c>
      <c r="T194" s="399" t="str">
        <f>IF(ISERROR(('CRA Validation'!T193-INPUT!U202)/INPUT!U202),"",('CRA Validation'!T193-INPUT!U202)/INPUT!U202)</f>
        <v/>
      </c>
      <c r="U194" s="399" t="str">
        <f>IF(ISERROR(('CRA Validation'!U193-INPUT!V202)/INPUT!V202),"",('CRA Validation'!U193-INPUT!V202)/INPUT!V202)</f>
        <v/>
      </c>
      <c r="V194" s="621"/>
    </row>
    <row r="195" spans="1:22" s="300" customFormat="1" ht="12" hidden="1" customHeight="1" x14ac:dyDescent="0.2">
      <c r="A195" s="400" t="s">
        <v>27</v>
      </c>
      <c r="B195" s="290">
        <f>B216</f>
        <v>46.43</v>
      </c>
      <c r="C195" s="290">
        <f>C216</f>
        <v>34.090000000000003</v>
      </c>
      <c r="D195" s="290">
        <f t="shared" ref="D195:U195" si="63">D216</f>
        <v>9.2799999999999994</v>
      </c>
      <c r="E195" s="290">
        <f t="shared" si="63"/>
        <v>5.25</v>
      </c>
      <c r="F195" s="290">
        <f t="shared" si="63"/>
        <v>12.23</v>
      </c>
      <c r="G195" s="290">
        <f t="shared" si="63"/>
        <v>19.420000000000002</v>
      </c>
      <c r="H195" s="290">
        <f t="shared" si="63"/>
        <v>19.559999999999999</v>
      </c>
      <c r="I195" s="290">
        <f t="shared" si="63"/>
        <v>19.38</v>
      </c>
      <c r="J195" s="290">
        <f t="shared" si="63"/>
        <v>19.100000000000001</v>
      </c>
      <c r="K195" s="290">
        <f t="shared" si="63"/>
        <v>19.04</v>
      </c>
      <c r="L195" s="290">
        <f t="shared" si="63"/>
        <v>19.7</v>
      </c>
      <c r="M195" s="290" t="str">
        <f t="shared" si="63"/>
        <v/>
      </c>
      <c r="N195" s="290" t="str">
        <f t="shared" si="63"/>
        <v/>
      </c>
      <c r="O195" s="290" t="str">
        <f t="shared" si="63"/>
        <v/>
      </c>
      <c r="P195" s="290" t="str">
        <f t="shared" si="63"/>
        <v/>
      </c>
      <c r="Q195" s="290" t="str">
        <f t="shared" si="63"/>
        <v/>
      </c>
      <c r="R195" s="290" t="str">
        <f t="shared" si="63"/>
        <v/>
      </c>
      <c r="S195" s="290" t="str">
        <f t="shared" si="63"/>
        <v/>
      </c>
      <c r="T195" s="290" t="str">
        <f t="shared" si="63"/>
        <v/>
      </c>
      <c r="U195" s="290" t="str">
        <f t="shared" si="63"/>
        <v/>
      </c>
      <c r="V195" s="625"/>
    </row>
    <row r="196" spans="1:22" s="75" customFormat="1" ht="12" hidden="1" customHeight="1" x14ac:dyDescent="0.2">
      <c r="A196" s="309" t="s">
        <v>894</v>
      </c>
      <c r="B196" s="399" t="str">
        <f>IF(ISERROR(('CRA Validation'!B195-INPUT!C203)/INPUT!C203),"",('CRA Validation'!B195-INPUT!C203)/INPUT!C203)</f>
        <v/>
      </c>
      <c r="C196" s="399" t="str">
        <f>IF(ISERROR(('CRA Validation'!C195-INPUT!D203)/INPUT!D203),"",('CRA Validation'!C195-INPUT!D203)/INPUT!D203)</f>
        <v/>
      </c>
      <c r="D196" s="399" t="str">
        <f>IF(ISERROR(('CRA Validation'!D195-INPUT!E203)/INPUT!E203),"",('CRA Validation'!D195-INPUT!E203)/INPUT!E203)</f>
        <v/>
      </c>
      <c r="E196" s="399" t="str">
        <f>IF(ISERROR(('CRA Validation'!E195-INPUT!F203)/INPUT!F203),"",('CRA Validation'!E195-INPUT!F203)/INPUT!F203)</f>
        <v/>
      </c>
      <c r="F196" s="399" t="str">
        <f>IF(ISERROR(('CRA Validation'!F195-INPUT!G203)/INPUT!G203),"",('CRA Validation'!F195-INPUT!G203)/INPUT!G203)</f>
        <v/>
      </c>
      <c r="G196" s="399" t="str">
        <f>IF(ISERROR(('CRA Validation'!G195-INPUT!H203)/INPUT!H203),"",('CRA Validation'!G195-INPUT!H203)/INPUT!H203)</f>
        <v/>
      </c>
      <c r="H196" s="399" t="str">
        <f>IF(ISERROR(('CRA Validation'!H195-INPUT!I203)/INPUT!I203),"",('CRA Validation'!H195-INPUT!I203)/INPUT!I203)</f>
        <v/>
      </c>
      <c r="I196" s="399" t="str">
        <f>IF(ISERROR(('CRA Validation'!I195-INPUT!J203)/INPUT!J203),"",('CRA Validation'!I195-INPUT!J203)/INPUT!J203)</f>
        <v/>
      </c>
      <c r="J196" s="399" t="str">
        <f>IF(ISERROR(('CRA Validation'!J195-INPUT!K203)/INPUT!K203),"",('CRA Validation'!J195-INPUT!K203)/INPUT!K203)</f>
        <v/>
      </c>
      <c r="K196" s="399" t="str">
        <f>IF(ISERROR(('CRA Validation'!K195-INPUT!L203)/INPUT!L203),"",('CRA Validation'!K195-INPUT!L203)/INPUT!L203)</f>
        <v/>
      </c>
      <c r="L196" s="399" t="str">
        <f>IF(ISERROR(('CRA Validation'!L195-INPUT!M203)/INPUT!M203),"",('CRA Validation'!L195-INPUT!M203)/INPUT!M203)</f>
        <v/>
      </c>
      <c r="M196" s="399" t="str">
        <f>IF(ISERROR(('CRA Validation'!M195-INPUT!N203)/INPUT!N203),"",('CRA Validation'!M195-INPUT!N203)/INPUT!N203)</f>
        <v/>
      </c>
      <c r="N196" s="399" t="str">
        <f>IF(ISERROR(('CRA Validation'!N195-INPUT!O203)/INPUT!O203),"",('CRA Validation'!N195-INPUT!O203)/INPUT!O203)</f>
        <v/>
      </c>
      <c r="O196" s="399" t="str">
        <f>IF(ISERROR(('CRA Validation'!O195-INPUT!P203)/INPUT!P203),"",('CRA Validation'!O195-INPUT!P203)/INPUT!P203)</f>
        <v/>
      </c>
      <c r="P196" s="399" t="str">
        <f>IF(ISERROR(('CRA Validation'!P195-INPUT!Q203)/INPUT!Q203),"",('CRA Validation'!P195-INPUT!Q203)/INPUT!Q203)</f>
        <v/>
      </c>
      <c r="Q196" s="399" t="str">
        <f>IF(ISERROR(('CRA Validation'!Q195-INPUT!R203)/INPUT!R203),"",('CRA Validation'!Q195-INPUT!R203)/INPUT!R203)</f>
        <v/>
      </c>
      <c r="R196" s="399" t="str">
        <f>IF(ISERROR(('CRA Validation'!R195-INPUT!S203)/INPUT!S203),"",('CRA Validation'!R195-INPUT!S203)/INPUT!S203)</f>
        <v/>
      </c>
      <c r="S196" s="399" t="str">
        <f>IF(ISERROR(('CRA Validation'!S195-INPUT!T203)/INPUT!T203),"",('CRA Validation'!S195-INPUT!T203)/INPUT!T203)</f>
        <v/>
      </c>
      <c r="T196" s="399" t="str">
        <f>IF(ISERROR(('CRA Validation'!T195-INPUT!U203)/INPUT!U203),"",('CRA Validation'!T195-INPUT!U203)/INPUT!U203)</f>
        <v/>
      </c>
      <c r="U196" s="399" t="str">
        <f>IF(ISERROR(('CRA Validation'!U195-INPUT!V203)/INPUT!V203),"",('CRA Validation'!U195-INPUT!V203)/INPUT!V203)</f>
        <v/>
      </c>
      <c r="V196" s="621"/>
    </row>
    <row r="197" spans="1:22" s="75" customFormat="1" ht="12" hidden="1" customHeight="1" x14ac:dyDescent="0.2">
      <c r="A197" s="308" t="s">
        <v>891</v>
      </c>
      <c r="B197" s="290" t="str">
        <f>B69</f>
        <v/>
      </c>
      <c r="C197" s="290" t="str">
        <f>C69</f>
        <v/>
      </c>
      <c r="D197" s="290" t="str">
        <f t="shared" ref="D197:U197" si="64">D69</f>
        <v/>
      </c>
      <c r="E197" s="290" t="str">
        <f t="shared" si="64"/>
        <v/>
      </c>
      <c r="F197" s="290" t="str">
        <f t="shared" si="64"/>
        <v/>
      </c>
      <c r="G197" s="290">
        <f t="shared" si="64"/>
        <v>2.1834985961545303</v>
      </c>
      <c r="H197" s="290">
        <f t="shared" si="64"/>
        <v>2.0539946485733238</v>
      </c>
      <c r="I197" s="290">
        <f t="shared" si="64"/>
        <v>1.7753488203200887</v>
      </c>
      <c r="J197" s="290">
        <f t="shared" si="64"/>
        <v>1.5596208871814068</v>
      </c>
      <c r="K197" s="290">
        <f t="shared" si="64"/>
        <v>1.4553148421686088</v>
      </c>
      <c r="L197" s="290">
        <f t="shared" si="64"/>
        <v>1.2522280144606224</v>
      </c>
      <c r="M197" s="290" t="str">
        <f t="shared" si="64"/>
        <v/>
      </c>
      <c r="N197" s="290" t="str">
        <f t="shared" si="64"/>
        <v/>
      </c>
      <c r="O197" s="290" t="str">
        <f t="shared" si="64"/>
        <v/>
      </c>
      <c r="P197" s="290" t="str">
        <f t="shared" si="64"/>
        <v/>
      </c>
      <c r="Q197" s="290" t="str">
        <f t="shared" si="64"/>
        <v/>
      </c>
      <c r="R197" s="290" t="str">
        <f t="shared" si="64"/>
        <v/>
      </c>
      <c r="S197" s="290" t="str">
        <f t="shared" si="64"/>
        <v/>
      </c>
      <c r="T197" s="290" t="str">
        <f t="shared" si="64"/>
        <v/>
      </c>
      <c r="U197" s="290" t="str">
        <f t="shared" si="64"/>
        <v/>
      </c>
      <c r="V197" s="621"/>
    </row>
    <row r="198" spans="1:22" s="75" customFormat="1" ht="12" hidden="1" customHeight="1" x14ac:dyDescent="0.2">
      <c r="A198" s="309" t="s">
        <v>894</v>
      </c>
      <c r="B198" s="399" t="str">
        <f>IF(ISERROR(('CRA Validation'!B197-INPUT!C204)/INPUT!C204),"",('CRA Validation'!B197-INPUT!C204)/INPUT!C204)</f>
        <v/>
      </c>
      <c r="C198" s="399" t="str">
        <f>IF(ISERROR(('CRA Validation'!C197-INPUT!D204)/INPUT!D204),"",('CRA Validation'!C197-INPUT!D204)/INPUT!D204)</f>
        <v/>
      </c>
      <c r="D198" s="399" t="str">
        <f>IF(ISERROR(('CRA Validation'!D197-INPUT!E204)/INPUT!E204),"",('CRA Validation'!D197-INPUT!E204)/INPUT!E204)</f>
        <v/>
      </c>
      <c r="E198" s="399" t="str">
        <f>IF(ISERROR(('CRA Validation'!E197-INPUT!F204)/INPUT!F204),"",('CRA Validation'!E197-INPUT!F204)/INPUT!F204)</f>
        <v/>
      </c>
      <c r="F198" s="399" t="str">
        <f>IF(ISERROR(('CRA Validation'!F197-INPUT!G204)/INPUT!G204),"",('CRA Validation'!F197-INPUT!G204)/INPUT!G204)</f>
        <v/>
      </c>
      <c r="G198" s="399" t="str">
        <f>IF(ISERROR(('CRA Validation'!G197-INPUT!H204)/INPUT!H204),"",('CRA Validation'!G197-INPUT!H204)/INPUT!H204)</f>
        <v/>
      </c>
      <c r="H198" s="399" t="str">
        <f>IF(ISERROR(('CRA Validation'!H197-INPUT!I204)/INPUT!I204),"",('CRA Validation'!H197-INPUT!I204)/INPUT!I204)</f>
        <v/>
      </c>
      <c r="I198" s="399" t="str">
        <f>IF(ISERROR(('CRA Validation'!I197-INPUT!J204)/INPUT!J204),"",('CRA Validation'!I197-INPUT!J204)/INPUT!J204)</f>
        <v/>
      </c>
      <c r="J198" s="399" t="str">
        <f>IF(ISERROR(('CRA Validation'!J197-INPUT!K204)/INPUT!K204),"",('CRA Validation'!J197-INPUT!K204)/INPUT!K204)</f>
        <v/>
      </c>
      <c r="K198" s="399" t="str">
        <f>IF(ISERROR(('CRA Validation'!K197-INPUT!L204)/INPUT!L204),"",('CRA Validation'!K197-INPUT!L204)/INPUT!L204)</f>
        <v/>
      </c>
      <c r="L198" s="399" t="str">
        <f>IF(ISERROR(('CRA Validation'!L197-INPUT!M204)/INPUT!M204),"",('CRA Validation'!L197-INPUT!M204)/INPUT!M204)</f>
        <v/>
      </c>
      <c r="M198" s="399" t="str">
        <f>IF(ISERROR(('CRA Validation'!M197-INPUT!N204)/INPUT!N204),"",('CRA Validation'!M197-INPUT!N204)/INPUT!N204)</f>
        <v/>
      </c>
      <c r="N198" s="399" t="str">
        <f>IF(ISERROR(('CRA Validation'!N197-INPUT!O204)/INPUT!O204),"",('CRA Validation'!N197-INPUT!O204)/INPUT!O204)</f>
        <v/>
      </c>
      <c r="O198" s="399" t="str">
        <f>IF(ISERROR(('CRA Validation'!O197-INPUT!P204)/INPUT!P204),"",('CRA Validation'!O197-INPUT!P204)/INPUT!P204)</f>
        <v/>
      </c>
      <c r="P198" s="399" t="str">
        <f>IF(ISERROR(('CRA Validation'!P197-INPUT!Q204)/INPUT!Q204),"",('CRA Validation'!P197-INPUT!Q204)/INPUT!Q204)</f>
        <v/>
      </c>
      <c r="Q198" s="399" t="str">
        <f>IF(ISERROR(('CRA Validation'!Q197-INPUT!R204)/INPUT!R204),"",('CRA Validation'!Q197-INPUT!R204)/INPUT!R204)</f>
        <v/>
      </c>
      <c r="R198" s="399" t="str">
        <f>IF(ISERROR(('CRA Validation'!R197-INPUT!S204)/INPUT!S204),"",('CRA Validation'!R197-INPUT!S204)/INPUT!S204)</f>
        <v/>
      </c>
      <c r="S198" s="399" t="str">
        <f>IF(ISERROR(('CRA Validation'!S197-INPUT!T204)/INPUT!T204),"",('CRA Validation'!S197-INPUT!T204)/INPUT!T204)</f>
        <v/>
      </c>
      <c r="T198" s="399" t="str">
        <f>IF(ISERROR(('CRA Validation'!T197-INPUT!U204)/INPUT!U204),"",('CRA Validation'!T197-INPUT!U204)/INPUT!U204)</f>
        <v/>
      </c>
      <c r="U198" s="399" t="str">
        <f>IF(ISERROR(('CRA Validation'!U197-INPUT!V204)/INPUT!V204),"",('CRA Validation'!U197-INPUT!V204)/INPUT!V204)</f>
        <v/>
      </c>
      <c r="V198" s="621"/>
    </row>
    <row r="199" spans="1:22" ht="15.75" hidden="1" customHeight="1" x14ac:dyDescent="0.2">
      <c r="A199" s="402" t="s">
        <v>895</v>
      </c>
      <c r="B199" s="255"/>
      <c r="C199" s="255"/>
      <c r="D199" s="255"/>
      <c r="E199" s="255"/>
      <c r="F199" s="255"/>
      <c r="G199" s="255"/>
      <c r="H199" s="255"/>
      <c r="I199" s="255"/>
      <c r="J199" s="255"/>
      <c r="K199" s="255"/>
      <c r="L199" s="255"/>
      <c r="M199" s="255"/>
      <c r="N199" s="255"/>
      <c r="O199" s="255"/>
      <c r="P199" s="255"/>
      <c r="Q199" s="255"/>
      <c r="R199" s="255"/>
      <c r="S199" s="255"/>
      <c r="T199" s="255"/>
      <c r="U199" s="255"/>
      <c r="V199" s="612"/>
    </row>
    <row r="200" spans="1:22" ht="24.75" hidden="1" customHeight="1" x14ac:dyDescent="0.25">
      <c r="A200" s="259" t="s">
        <v>432</v>
      </c>
      <c r="B200" s="255"/>
      <c r="C200" s="255"/>
      <c r="D200" s="255"/>
      <c r="E200" s="255"/>
      <c r="F200" s="255"/>
      <c r="G200" s="255"/>
      <c r="H200" s="255"/>
      <c r="I200" s="255"/>
      <c r="J200" s="255"/>
      <c r="K200" s="255"/>
      <c r="L200" s="255"/>
      <c r="M200" s="255"/>
      <c r="N200" s="255"/>
      <c r="O200" s="255"/>
      <c r="P200" s="255"/>
      <c r="Q200" s="255"/>
      <c r="R200" s="255"/>
      <c r="S200" s="255"/>
      <c r="T200" s="255"/>
      <c r="U200" s="255"/>
      <c r="V200" s="612"/>
    </row>
    <row r="201" spans="1:22" ht="15" hidden="1" customHeight="1" x14ac:dyDescent="0.25">
      <c r="A201" s="260"/>
      <c r="B201" s="261">
        <f>B3</f>
        <v>2020</v>
      </c>
      <c r="C201" s="261">
        <f>C3</f>
        <v>2021</v>
      </c>
      <c r="D201" s="261">
        <f t="shared" ref="D201:U201" si="65">D3</f>
        <v>2022</v>
      </c>
      <c r="E201" s="261">
        <f t="shared" si="65"/>
        <v>2023</v>
      </c>
      <c r="F201" s="261">
        <f t="shared" si="65"/>
        <v>2024</v>
      </c>
      <c r="G201" s="261">
        <f t="shared" si="65"/>
        <v>2025</v>
      </c>
      <c r="H201" s="261">
        <f t="shared" si="65"/>
        <v>2026</v>
      </c>
      <c r="I201" s="261">
        <f t="shared" si="65"/>
        <v>2027</v>
      </c>
      <c r="J201" s="261">
        <f t="shared" si="65"/>
        <v>2028</v>
      </c>
      <c r="K201" s="261">
        <f t="shared" si="65"/>
        <v>2029</v>
      </c>
      <c r="L201" s="261">
        <f t="shared" si="65"/>
        <v>2030</v>
      </c>
      <c r="M201" s="261">
        <f t="shared" si="65"/>
        <v>2031</v>
      </c>
      <c r="N201" s="261">
        <f t="shared" si="65"/>
        <v>2032</v>
      </c>
      <c r="O201" s="261">
        <f t="shared" si="65"/>
        <v>2033</v>
      </c>
      <c r="P201" s="261">
        <f t="shared" si="65"/>
        <v>2034</v>
      </c>
      <c r="Q201" s="261">
        <f t="shared" si="65"/>
        <v>2035</v>
      </c>
      <c r="R201" s="261">
        <f t="shared" si="65"/>
        <v>2036</v>
      </c>
      <c r="S201" s="261">
        <f t="shared" si="65"/>
        <v>2037</v>
      </c>
      <c r="T201" s="261">
        <f t="shared" si="65"/>
        <v>2038</v>
      </c>
      <c r="U201" s="261">
        <f t="shared" si="65"/>
        <v>2039</v>
      </c>
      <c r="V201" s="612"/>
    </row>
    <row r="202" spans="1:22" ht="15" hidden="1" customHeight="1" x14ac:dyDescent="0.25">
      <c r="A202" s="260"/>
      <c r="B202" s="261" t="str">
        <f>B180</f>
        <v>AUD.</v>
      </c>
      <c r="C202" s="261" t="str">
        <f>C180</f>
        <v>AUD.</v>
      </c>
      <c r="D202" s="261" t="str">
        <f t="shared" ref="D202:U202" si="66">D180</f>
        <v>AUD.</v>
      </c>
      <c r="E202" s="261" t="str">
        <f t="shared" si="66"/>
        <v>EST.</v>
      </c>
      <c r="F202" s="261" t="str">
        <f t="shared" si="66"/>
        <v>PROJ.</v>
      </c>
      <c r="G202" s="261" t="str">
        <f t="shared" si="66"/>
        <v>PROJ.</v>
      </c>
      <c r="H202" s="261" t="str">
        <f t="shared" si="66"/>
        <v>PROJ.</v>
      </c>
      <c r="I202" s="261" t="str">
        <f t="shared" si="66"/>
        <v>PROJ.</v>
      </c>
      <c r="J202" s="261" t="str">
        <f t="shared" si="66"/>
        <v>PROJ.</v>
      </c>
      <c r="K202" s="261" t="str">
        <f t="shared" si="66"/>
        <v>PROJ.</v>
      </c>
      <c r="L202" s="261" t="str">
        <f t="shared" si="66"/>
        <v>PROJ.</v>
      </c>
      <c r="M202" s="261" t="str">
        <f t="shared" si="66"/>
        <v>PROJ.</v>
      </c>
      <c r="N202" s="261" t="str">
        <f t="shared" si="66"/>
        <v>PROJ.</v>
      </c>
      <c r="O202" s="261" t="str">
        <f t="shared" si="66"/>
        <v>PROJ.</v>
      </c>
      <c r="P202" s="261" t="str">
        <f t="shared" si="66"/>
        <v>PROJ.</v>
      </c>
      <c r="Q202" s="261" t="str">
        <f t="shared" si="66"/>
        <v>PROJ.</v>
      </c>
      <c r="R202" s="261" t="str">
        <f t="shared" si="66"/>
        <v>PROJ.</v>
      </c>
      <c r="S202" s="261" t="str">
        <f t="shared" si="66"/>
        <v>PROJ.</v>
      </c>
      <c r="T202" s="261" t="str">
        <f t="shared" si="66"/>
        <v>PROJ.</v>
      </c>
      <c r="U202" s="261" t="str">
        <f t="shared" si="66"/>
        <v>PROJ.</v>
      </c>
      <c r="V202" s="612"/>
    </row>
    <row r="203" spans="1:22" ht="14.25" hidden="1" customHeight="1" x14ac:dyDescent="0.2">
      <c r="A203" s="262" t="s">
        <v>20</v>
      </c>
      <c r="B203" s="256">
        <f t="shared" ref="B203:C205" si="67">B214</f>
        <v>2.5</v>
      </c>
      <c r="C203" s="256">
        <f t="shared" si="67"/>
        <v>1.59</v>
      </c>
      <c r="D203" s="256">
        <f t="shared" ref="D203:U203" si="68">D214</f>
        <v>10.02</v>
      </c>
      <c r="E203" s="256">
        <f t="shared" si="68"/>
        <v>0.77</v>
      </c>
      <c r="F203" s="256">
        <f t="shared" si="68"/>
        <v>1.38</v>
      </c>
      <c r="G203" s="256">
        <f t="shared" si="68"/>
        <v>1.2</v>
      </c>
      <c r="H203" s="256">
        <f t="shared" si="68"/>
        <v>0.97</v>
      </c>
      <c r="I203" s="256">
        <f t="shared" si="68"/>
        <v>0.72</v>
      </c>
      <c r="J203" s="256">
        <f t="shared" si="68"/>
        <v>0.51</v>
      </c>
      <c r="K203" s="256">
        <f t="shared" si="68"/>
        <v>0.33</v>
      </c>
      <c r="L203" s="256">
        <f t="shared" si="68"/>
        <v>0.15</v>
      </c>
      <c r="M203" s="256" t="str">
        <f t="shared" si="68"/>
        <v/>
      </c>
      <c r="N203" s="256" t="str">
        <f t="shared" si="68"/>
        <v/>
      </c>
      <c r="O203" s="256" t="str">
        <f t="shared" si="68"/>
        <v/>
      </c>
      <c r="P203" s="256" t="str">
        <f t="shared" si="68"/>
        <v/>
      </c>
      <c r="Q203" s="256" t="str">
        <f t="shared" si="68"/>
        <v/>
      </c>
      <c r="R203" s="256" t="str">
        <f t="shared" si="68"/>
        <v/>
      </c>
      <c r="S203" s="256" t="str">
        <f t="shared" si="68"/>
        <v/>
      </c>
      <c r="T203" s="256" t="str">
        <f t="shared" si="68"/>
        <v/>
      </c>
      <c r="U203" s="256" t="str">
        <f t="shared" si="68"/>
        <v/>
      </c>
      <c r="V203" s="612"/>
    </row>
    <row r="204" spans="1:22" ht="14.25" hidden="1" customHeight="1" x14ac:dyDescent="0.2">
      <c r="A204" s="262" t="s">
        <v>323</v>
      </c>
      <c r="B204" s="256">
        <f t="shared" si="67"/>
        <v>1.31</v>
      </c>
      <c r="C204" s="256">
        <f t="shared" si="67"/>
        <v>2.4700000000000002</v>
      </c>
      <c r="D204" s="256">
        <f t="shared" ref="D204:U204" si="69">D215</f>
        <v>0.55000000000000004</v>
      </c>
      <c r="E204" s="256">
        <f t="shared" si="69"/>
        <v>0.64</v>
      </c>
      <c r="F204" s="256">
        <f t="shared" si="69"/>
        <v>1.37</v>
      </c>
      <c r="G204" s="256">
        <f t="shared" si="69"/>
        <v>1.71</v>
      </c>
      <c r="H204" s="256">
        <f t="shared" si="69"/>
        <v>1.97</v>
      </c>
      <c r="I204" s="256">
        <f t="shared" si="69"/>
        <v>2.2400000000000002</v>
      </c>
      <c r="J204" s="256">
        <f t="shared" si="69"/>
        <v>2.4300000000000002</v>
      </c>
      <c r="K204" s="256">
        <f t="shared" si="69"/>
        <v>2.4300000000000002</v>
      </c>
      <c r="L204" s="256">
        <f t="shared" si="69"/>
        <v>4.78</v>
      </c>
      <c r="M204" s="256" t="str">
        <f t="shared" si="69"/>
        <v/>
      </c>
      <c r="N204" s="256" t="str">
        <f t="shared" si="69"/>
        <v/>
      </c>
      <c r="O204" s="256" t="str">
        <f t="shared" si="69"/>
        <v/>
      </c>
      <c r="P204" s="256" t="str">
        <f t="shared" si="69"/>
        <v/>
      </c>
      <c r="Q204" s="256" t="str">
        <f t="shared" si="69"/>
        <v/>
      </c>
      <c r="R204" s="256" t="str">
        <f t="shared" si="69"/>
        <v/>
      </c>
      <c r="S204" s="256" t="str">
        <f t="shared" si="69"/>
        <v/>
      </c>
      <c r="T204" s="256" t="str">
        <f t="shared" si="69"/>
        <v/>
      </c>
      <c r="U204" s="256" t="str">
        <f t="shared" si="69"/>
        <v/>
      </c>
      <c r="V204" s="612"/>
    </row>
    <row r="205" spans="1:22" ht="14.25" hidden="1" customHeight="1" x14ac:dyDescent="0.2">
      <c r="A205" s="262" t="s">
        <v>438</v>
      </c>
      <c r="B205" s="256">
        <f t="shared" si="67"/>
        <v>46.43</v>
      </c>
      <c r="C205" s="256">
        <f t="shared" si="67"/>
        <v>34.090000000000003</v>
      </c>
      <c r="D205" s="256">
        <f t="shared" ref="D205:U205" si="70">D216</f>
        <v>9.2799999999999994</v>
      </c>
      <c r="E205" s="256">
        <f t="shared" si="70"/>
        <v>5.25</v>
      </c>
      <c r="F205" s="256">
        <f t="shared" si="70"/>
        <v>12.23</v>
      </c>
      <c r="G205" s="256">
        <f t="shared" si="70"/>
        <v>19.420000000000002</v>
      </c>
      <c r="H205" s="256">
        <f t="shared" si="70"/>
        <v>19.559999999999999</v>
      </c>
      <c r="I205" s="256">
        <f t="shared" si="70"/>
        <v>19.38</v>
      </c>
      <c r="J205" s="256">
        <f t="shared" si="70"/>
        <v>19.100000000000001</v>
      </c>
      <c r="K205" s="256">
        <f t="shared" si="70"/>
        <v>19.04</v>
      </c>
      <c r="L205" s="256">
        <f t="shared" si="70"/>
        <v>19.7</v>
      </c>
      <c r="M205" s="256" t="str">
        <f t="shared" si="70"/>
        <v/>
      </c>
      <c r="N205" s="256" t="str">
        <f t="shared" si="70"/>
        <v/>
      </c>
      <c r="O205" s="256" t="str">
        <f t="shared" si="70"/>
        <v/>
      </c>
      <c r="P205" s="256" t="str">
        <f t="shared" si="70"/>
        <v/>
      </c>
      <c r="Q205" s="256" t="str">
        <f t="shared" si="70"/>
        <v/>
      </c>
      <c r="R205" s="256" t="str">
        <f t="shared" si="70"/>
        <v/>
      </c>
      <c r="S205" s="256" t="str">
        <f t="shared" si="70"/>
        <v/>
      </c>
      <c r="T205" s="256" t="str">
        <f t="shared" si="70"/>
        <v/>
      </c>
      <c r="U205" s="256" t="str">
        <f t="shared" si="70"/>
        <v/>
      </c>
      <c r="V205" s="612"/>
    </row>
    <row r="206" spans="1:22" ht="14.25" hidden="1" customHeight="1" x14ac:dyDescent="0.2">
      <c r="A206" s="262" t="s">
        <v>439</v>
      </c>
      <c r="B206" s="256" t="str">
        <f>B218</f>
        <v/>
      </c>
      <c r="C206" s="256" t="str">
        <f>C218</f>
        <v/>
      </c>
      <c r="D206" s="256">
        <f t="shared" ref="D206:U206" si="71">D218</f>
        <v>9</v>
      </c>
      <c r="E206" s="256">
        <f t="shared" si="71"/>
        <v>1.7</v>
      </c>
      <c r="F206" s="256">
        <f t="shared" si="71"/>
        <v>3.6</v>
      </c>
      <c r="G206" s="256">
        <f t="shared" si="71"/>
        <v>4.6500000000000004</v>
      </c>
      <c r="H206" s="256">
        <f t="shared" si="71"/>
        <v>5.65</v>
      </c>
      <c r="I206" s="256">
        <f t="shared" si="71"/>
        <v>6.35</v>
      </c>
      <c r="J206" s="256">
        <f t="shared" si="71"/>
        <v>7.6</v>
      </c>
      <c r="K206" s="256">
        <f t="shared" si="71"/>
        <v>10.18</v>
      </c>
      <c r="L206" s="256">
        <f t="shared" si="71"/>
        <v>17.940000000000001</v>
      </c>
      <c r="M206" s="256" t="str">
        <f t="shared" si="71"/>
        <v/>
      </c>
      <c r="N206" s="256" t="str">
        <f t="shared" si="71"/>
        <v/>
      </c>
      <c r="O206" s="256" t="str">
        <f t="shared" si="71"/>
        <v/>
      </c>
      <c r="P206" s="256" t="str">
        <f t="shared" si="71"/>
        <v/>
      </c>
      <c r="Q206" s="256" t="str">
        <f t="shared" si="71"/>
        <v/>
      </c>
      <c r="R206" s="256" t="str">
        <f t="shared" si="71"/>
        <v/>
      </c>
      <c r="S206" s="256" t="str">
        <f t="shared" si="71"/>
        <v/>
      </c>
      <c r="T206" s="256" t="str">
        <f t="shared" si="71"/>
        <v/>
      </c>
      <c r="U206" s="256" t="str">
        <f t="shared" si="71"/>
        <v/>
      </c>
      <c r="V206" s="612"/>
    </row>
    <row r="207" spans="1:22" ht="14.25" hidden="1" customHeight="1" x14ac:dyDescent="0.2">
      <c r="A207" s="262" t="s">
        <v>440</v>
      </c>
      <c r="B207" s="256">
        <f>B219</f>
        <v>8.75</v>
      </c>
      <c r="C207" s="256">
        <f>C219</f>
        <v>8.57</v>
      </c>
      <c r="D207" s="256">
        <f t="shared" ref="D207:U207" si="72">D219</f>
        <v>12.27</v>
      </c>
      <c r="E207" s="256">
        <f t="shared" si="72"/>
        <v>5.43</v>
      </c>
      <c r="F207" s="256">
        <f t="shared" si="72"/>
        <v>2.8</v>
      </c>
      <c r="G207" s="256">
        <f t="shared" si="72"/>
        <v>3.49</v>
      </c>
      <c r="H207" s="256">
        <f t="shared" si="72"/>
        <v>4.03</v>
      </c>
      <c r="I207" s="256">
        <f t="shared" si="72"/>
        <v>4.13</v>
      </c>
      <c r="J207" s="256">
        <f t="shared" si="72"/>
        <v>4.17</v>
      </c>
      <c r="K207" s="256">
        <f t="shared" si="72"/>
        <v>4.26</v>
      </c>
      <c r="L207" s="256">
        <f t="shared" si="72"/>
        <v>4.54</v>
      </c>
      <c r="M207" s="256" t="str">
        <f t="shared" si="72"/>
        <v/>
      </c>
      <c r="N207" s="256" t="str">
        <f t="shared" si="72"/>
        <v/>
      </c>
      <c r="O207" s="256" t="str">
        <f t="shared" si="72"/>
        <v/>
      </c>
      <c r="P207" s="256" t="str">
        <f t="shared" si="72"/>
        <v/>
      </c>
      <c r="Q207" s="256" t="str">
        <f t="shared" si="72"/>
        <v/>
      </c>
      <c r="R207" s="256" t="str">
        <f t="shared" si="72"/>
        <v/>
      </c>
      <c r="S207" s="256" t="str">
        <f t="shared" si="72"/>
        <v/>
      </c>
      <c r="T207" s="256" t="str">
        <f t="shared" si="72"/>
        <v/>
      </c>
      <c r="U207" s="256" t="str">
        <f t="shared" si="72"/>
        <v/>
      </c>
      <c r="V207" s="612"/>
    </row>
    <row r="208" spans="1:22" ht="42.75" hidden="1" customHeight="1" x14ac:dyDescent="0.2">
      <c r="A208" s="264" t="s">
        <v>441</v>
      </c>
      <c r="B208" s="256">
        <f>B221</f>
        <v>5</v>
      </c>
      <c r="C208" s="256">
        <f>C221</f>
        <v>35</v>
      </c>
      <c r="D208" s="256">
        <f t="shared" ref="D208:U208" si="73">D221</f>
        <v>48</v>
      </c>
      <c r="E208" s="256">
        <f t="shared" si="73"/>
        <v>55</v>
      </c>
      <c r="F208" s="256">
        <f t="shared" si="73"/>
        <v>82</v>
      </c>
      <c r="G208" s="256">
        <f t="shared" si="73"/>
        <v>78</v>
      </c>
      <c r="H208" s="256">
        <f t="shared" si="73"/>
        <v>86</v>
      </c>
      <c r="I208" s="256">
        <f t="shared" si="73"/>
        <v>87</v>
      </c>
      <c r="J208" s="256">
        <f t="shared" si="73"/>
        <v>87</v>
      </c>
      <c r="K208" s="256">
        <f t="shared" si="73"/>
        <v>85</v>
      </c>
      <c r="L208" s="256">
        <f t="shared" si="73"/>
        <v>82</v>
      </c>
      <c r="M208" s="256" t="str">
        <f t="shared" si="73"/>
        <v/>
      </c>
      <c r="N208" s="256" t="str">
        <f t="shared" si="73"/>
        <v/>
      </c>
      <c r="O208" s="256" t="str">
        <f t="shared" si="73"/>
        <v/>
      </c>
      <c r="P208" s="256" t="str">
        <f t="shared" si="73"/>
        <v/>
      </c>
      <c r="Q208" s="256" t="str">
        <f t="shared" si="73"/>
        <v/>
      </c>
      <c r="R208" s="256" t="str">
        <f t="shared" si="73"/>
        <v/>
      </c>
      <c r="S208" s="256" t="str">
        <f t="shared" si="73"/>
        <v/>
      </c>
      <c r="T208" s="256" t="str">
        <f t="shared" si="73"/>
        <v/>
      </c>
      <c r="U208" s="256" t="str">
        <f t="shared" si="73"/>
        <v/>
      </c>
      <c r="V208" s="612"/>
    </row>
    <row r="209" spans="1:22" ht="14.25" hidden="1" customHeight="1" x14ac:dyDescent="0.2">
      <c r="A209" s="265" t="s">
        <v>50</v>
      </c>
      <c r="B209" s="256">
        <f>B222</f>
        <v>0.08</v>
      </c>
      <c r="C209" s="256">
        <f>C222</f>
        <v>0.17</v>
      </c>
      <c r="D209" s="256">
        <f t="shared" ref="D209:U209" si="74">D222</f>
        <v>0.44</v>
      </c>
      <c r="E209" s="256">
        <f t="shared" si="74"/>
        <v>8.57</v>
      </c>
      <c r="F209" s="256">
        <f t="shared" si="74"/>
        <v>11.25</v>
      </c>
      <c r="G209" s="256">
        <f t="shared" si="74"/>
        <v>12.46</v>
      </c>
      <c r="H209" s="256">
        <f t="shared" si="74"/>
        <v>14.11</v>
      </c>
      <c r="I209" s="256">
        <f t="shared" si="74"/>
        <v>15.95</v>
      </c>
      <c r="J209" s="256">
        <f t="shared" si="74"/>
        <v>17.97</v>
      </c>
      <c r="K209" s="256">
        <f t="shared" si="74"/>
        <v>20.190000000000001</v>
      </c>
      <c r="L209" s="256">
        <f t="shared" si="74"/>
        <v>22.74</v>
      </c>
      <c r="M209" s="256">
        <f t="shared" si="74"/>
        <v>12.62</v>
      </c>
      <c r="N209" s="256">
        <f t="shared" si="74"/>
        <v>12.62</v>
      </c>
      <c r="O209" s="256">
        <f t="shared" si="74"/>
        <v>12.62</v>
      </c>
      <c r="P209" s="256">
        <f t="shared" si="74"/>
        <v>12.62</v>
      </c>
      <c r="Q209" s="256">
        <f t="shared" si="74"/>
        <v>12.62</v>
      </c>
      <c r="R209" s="256">
        <f t="shared" si="74"/>
        <v>12.62</v>
      </c>
      <c r="S209" s="256">
        <f t="shared" si="74"/>
        <v>12.62</v>
      </c>
      <c r="T209" s="256">
        <f t="shared" si="74"/>
        <v>12.62</v>
      </c>
      <c r="U209" s="256">
        <f t="shared" si="74"/>
        <v>12.62</v>
      </c>
      <c r="V209" s="612"/>
    </row>
    <row r="210" spans="1:22" ht="14.25" hidden="1" customHeight="1" x14ac:dyDescent="0.2">
      <c r="A210" s="257"/>
      <c r="B210" s="255"/>
      <c r="C210" s="255"/>
      <c r="D210" s="255"/>
      <c r="E210" s="255"/>
      <c r="F210" s="255"/>
      <c r="G210" s="255"/>
      <c r="H210" s="255"/>
      <c r="I210" s="255"/>
      <c r="J210" s="255"/>
      <c r="K210" s="255"/>
      <c r="L210" s="255"/>
      <c r="M210" s="255"/>
      <c r="N210" s="255"/>
      <c r="O210" s="255"/>
      <c r="P210" s="255"/>
      <c r="Q210" s="255"/>
      <c r="R210" s="255"/>
      <c r="S210" s="255"/>
      <c r="T210" s="255"/>
      <c r="U210" s="255"/>
      <c r="V210" s="612"/>
    </row>
    <row r="211" spans="1:22" ht="15" hidden="1" customHeight="1" x14ac:dyDescent="0.25">
      <c r="A211" s="259" t="s">
        <v>433</v>
      </c>
      <c r="B211" s="255"/>
      <c r="C211" s="255"/>
      <c r="D211" s="255"/>
      <c r="E211" s="255"/>
      <c r="F211" s="255"/>
      <c r="G211" s="255"/>
      <c r="H211" s="255"/>
      <c r="I211" s="255"/>
      <c r="J211" s="255"/>
      <c r="K211" s="255"/>
      <c r="L211" s="255"/>
      <c r="M211" s="255"/>
      <c r="N211" s="255"/>
      <c r="O211" s="255"/>
      <c r="P211" s="255"/>
      <c r="Q211" s="255"/>
      <c r="R211" s="255"/>
      <c r="S211" s="255"/>
      <c r="T211" s="255"/>
      <c r="U211" s="255"/>
      <c r="V211" s="612"/>
    </row>
    <row r="212" spans="1:22" ht="15" hidden="1" customHeight="1" x14ac:dyDescent="0.25">
      <c r="A212" s="260"/>
      <c r="B212" s="261">
        <f>B3</f>
        <v>2020</v>
      </c>
      <c r="C212" s="261">
        <f>C3</f>
        <v>2021</v>
      </c>
      <c r="D212" s="261">
        <f t="shared" ref="D212:U212" si="75">D3</f>
        <v>2022</v>
      </c>
      <c r="E212" s="261">
        <f t="shared" si="75"/>
        <v>2023</v>
      </c>
      <c r="F212" s="261">
        <f t="shared" si="75"/>
        <v>2024</v>
      </c>
      <c r="G212" s="261">
        <f t="shared" si="75"/>
        <v>2025</v>
      </c>
      <c r="H212" s="261">
        <f t="shared" si="75"/>
        <v>2026</v>
      </c>
      <c r="I212" s="261">
        <f t="shared" si="75"/>
        <v>2027</v>
      </c>
      <c r="J212" s="261">
        <f t="shared" si="75"/>
        <v>2028</v>
      </c>
      <c r="K212" s="261">
        <f t="shared" si="75"/>
        <v>2029</v>
      </c>
      <c r="L212" s="261">
        <f t="shared" si="75"/>
        <v>2030</v>
      </c>
      <c r="M212" s="261">
        <f t="shared" si="75"/>
        <v>2031</v>
      </c>
      <c r="N212" s="261">
        <f t="shared" si="75"/>
        <v>2032</v>
      </c>
      <c r="O212" s="261">
        <f t="shared" si="75"/>
        <v>2033</v>
      </c>
      <c r="P212" s="261">
        <f t="shared" si="75"/>
        <v>2034</v>
      </c>
      <c r="Q212" s="261">
        <f t="shared" si="75"/>
        <v>2035</v>
      </c>
      <c r="R212" s="261">
        <f t="shared" si="75"/>
        <v>2036</v>
      </c>
      <c r="S212" s="261">
        <f t="shared" si="75"/>
        <v>2037</v>
      </c>
      <c r="T212" s="261">
        <f t="shared" si="75"/>
        <v>2038</v>
      </c>
      <c r="U212" s="261">
        <f t="shared" si="75"/>
        <v>2039</v>
      </c>
      <c r="V212" s="612"/>
    </row>
    <row r="213" spans="1:22" ht="15" hidden="1" customHeight="1" x14ac:dyDescent="0.25">
      <c r="A213" s="260"/>
      <c r="B213" s="261" t="str">
        <f>B202</f>
        <v>AUD.</v>
      </c>
      <c r="C213" s="261" t="str">
        <f>C202</f>
        <v>AUD.</v>
      </c>
      <c r="D213" s="261" t="str">
        <f t="shared" ref="D213:U213" si="76">D202</f>
        <v>AUD.</v>
      </c>
      <c r="E213" s="261" t="str">
        <f t="shared" si="76"/>
        <v>EST.</v>
      </c>
      <c r="F213" s="261" t="str">
        <f t="shared" si="76"/>
        <v>PROJ.</v>
      </c>
      <c r="G213" s="261" t="str">
        <f t="shared" si="76"/>
        <v>PROJ.</v>
      </c>
      <c r="H213" s="261" t="str">
        <f t="shared" si="76"/>
        <v>PROJ.</v>
      </c>
      <c r="I213" s="261" t="str">
        <f t="shared" si="76"/>
        <v>PROJ.</v>
      </c>
      <c r="J213" s="261" t="str">
        <f t="shared" si="76"/>
        <v>PROJ.</v>
      </c>
      <c r="K213" s="261" t="str">
        <f t="shared" si="76"/>
        <v>PROJ.</v>
      </c>
      <c r="L213" s="261" t="str">
        <f t="shared" si="76"/>
        <v>PROJ.</v>
      </c>
      <c r="M213" s="261" t="str">
        <f t="shared" si="76"/>
        <v>PROJ.</v>
      </c>
      <c r="N213" s="261" t="str">
        <f t="shared" si="76"/>
        <v>PROJ.</v>
      </c>
      <c r="O213" s="261" t="str">
        <f t="shared" si="76"/>
        <v>PROJ.</v>
      </c>
      <c r="P213" s="261" t="str">
        <f t="shared" si="76"/>
        <v>PROJ.</v>
      </c>
      <c r="Q213" s="261" t="str">
        <f t="shared" si="76"/>
        <v>PROJ.</v>
      </c>
      <c r="R213" s="261" t="str">
        <f t="shared" si="76"/>
        <v>PROJ.</v>
      </c>
      <c r="S213" s="261" t="str">
        <f t="shared" si="76"/>
        <v>PROJ.</v>
      </c>
      <c r="T213" s="261" t="str">
        <f t="shared" si="76"/>
        <v>PROJ.</v>
      </c>
      <c r="U213" s="261" t="str">
        <f t="shared" si="76"/>
        <v>PROJ.</v>
      </c>
      <c r="V213" s="612"/>
    </row>
    <row r="214" spans="1:22" ht="14.25" hidden="1" customHeight="1" x14ac:dyDescent="0.2">
      <c r="A214" s="262" t="s">
        <v>20</v>
      </c>
      <c r="B214" s="256">
        <f>IF(ISERROR(ROUND(B57,2)),"",ROUND(B57,2))</f>
        <v>2.5</v>
      </c>
      <c r="C214" s="256">
        <f>IF(ISERROR(ROUND(C57,2)),"",ROUND(C57,2))</f>
        <v>1.59</v>
      </c>
      <c r="D214" s="256">
        <f t="shared" ref="D214:U214" si="77">IF(ISERROR(ROUND(D57,2)),"",ROUND(D57,2))</f>
        <v>10.02</v>
      </c>
      <c r="E214" s="256">
        <f t="shared" si="77"/>
        <v>0.77</v>
      </c>
      <c r="F214" s="256">
        <f t="shared" si="77"/>
        <v>1.38</v>
      </c>
      <c r="G214" s="256">
        <f t="shared" si="77"/>
        <v>1.2</v>
      </c>
      <c r="H214" s="256">
        <f t="shared" si="77"/>
        <v>0.97</v>
      </c>
      <c r="I214" s="256">
        <f t="shared" si="77"/>
        <v>0.72</v>
      </c>
      <c r="J214" s="256">
        <f t="shared" si="77"/>
        <v>0.51</v>
      </c>
      <c r="K214" s="256">
        <f t="shared" si="77"/>
        <v>0.33</v>
      </c>
      <c r="L214" s="256">
        <f t="shared" si="77"/>
        <v>0.15</v>
      </c>
      <c r="M214" s="256" t="str">
        <f t="shared" si="77"/>
        <v/>
      </c>
      <c r="N214" s="256" t="str">
        <f t="shared" si="77"/>
        <v/>
      </c>
      <c r="O214" s="256" t="str">
        <f t="shared" si="77"/>
        <v/>
      </c>
      <c r="P214" s="256" t="str">
        <f t="shared" si="77"/>
        <v/>
      </c>
      <c r="Q214" s="256" t="str">
        <f t="shared" si="77"/>
        <v/>
      </c>
      <c r="R214" s="256" t="str">
        <f t="shared" si="77"/>
        <v/>
      </c>
      <c r="S214" s="256" t="str">
        <f t="shared" si="77"/>
        <v/>
      </c>
      <c r="T214" s="256" t="str">
        <f t="shared" si="77"/>
        <v/>
      </c>
      <c r="U214" s="256" t="str">
        <f t="shared" si="77"/>
        <v/>
      </c>
      <c r="V214" s="612"/>
    </row>
    <row r="215" spans="1:22" ht="14.25" hidden="1" customHeight="1" x14ac:dyDescent="0.2">
      <c r="A215" s="262" t="s">
        <v>323</v>
      </c>
      <c r="B215" s="256">
        <f>IF(ISERROR(ROUND(B61,2)),"",ROUND(B61,2))</f>
        <v>1.31</v>
      </c>
      <c r="C215" s="256">
        <f>IF(ISERROR(ROUND(C61,2)),"",ROUND(C61,2))</f>
        <v>2.4700000000000002</v>
      </c>
      <c r="D215" s="256">
        <f t="shared" ref="D215:U215" si="78">IF(ISERROR(ROUND(D61,2)),"",ROUND(D61,2))</f>
        <v>0.55000000000000004</v>
      </c>
      <c r="E215" s="256">
        <f t="shared" si="78"/>
        <v>0.64</v>
      </c>
      <c r="F215" s="256">
        <f t="shared" si="78"/>
        <v>1.37</v>
      </c>
      <c r="G215" s="256">
        <f t="shared" si="78"/>
        <v>1.71</v>
      </c>
      <c r="H215" s="256">
        <f t="shared" si="78"/>
        <v>1.97</v>
      </c>
      <c r="I215" s="256">
        <f t="shared" si="78"/>
        <v>2.2400000000000002</v>
      </c>
      <c r="J215" s="256">
        <f t="shared" si="78"/>
        <v>2.4300000000000002</v>
      </c>
      <c r="K215" s="256">
        <f t="shared" si="78"/>
        <v>2.4300000000000002</v>
      </c>
      <c r="L215" s="256">
        <f t="shared" si="78"/>
        <v>4.78</v>
      </c>
      <c r="M215" s="256" t="str">
        <f t="shared" si="78"/>
        <v/>
      </c>
      <c r="N215" s="256" t="str">
        <f t="shared" si="78"/>
        <v/>
      </c>
      <c r="O215" s="256" t="str">
        <f t="shared" si="78"/>
        <v/>
      </c>
      <c r="P215" s="256" t="str">
        <f t="shared" si="78"/>
        <v/>
      </c>
      <c r="Q215" s="256" t="str">
        <f t="shared" si="78"/>
        <v/>
      </c>
      <c r="R215" s="256" t="str">
        <f t="shared" si="78"/>
        <v/>
      </c>
      <c r="S215" s="256" t="str">
        <f t="shared" si="78"/>
        <v/>
      </c>
      <c r="T215" s="256" t="str">
        <f t="shared" si="78"/>
        <v/>
      </c>
      <c r="U215" s="256" t="str">
        <f t="shared" si="78"/>
        <v/>
      </c>
      <c r="V215" s="612"/>
    </row>
    <row r="216" spans="1:22" ht="14.25" hidden="1" customHeight="1" x14ac:dyDescent="0.2">
      <c r="A216" s="262" t="s">
        <v>438</v>
      </c>
      <c r="B216" s="256">
        <f>IF(ISERROR(B45/Asset!C93),"",IF(B45/Asset!C93=0,"",ROUND(B45/Asset!C93*100,2)))</f>
        <v>46.43</v>
      </c>
      <c r="C216" s="256">
        <f>IF(ISERROR(C45/Asset!D93),"",IF(C45/Asset!D93=0,"",ROUND(C45/Asset!D93*100,2)))</f>
        <v>34.090000000000003</v>
      </c>
      <c r="D216" s="256">
        <f>IF(ISERROR(D45/Asset!E93),"",IF(D45/Asset!E93=0,"",ROUND(D45/Asset!E93*100,2)))</f>
        <v>9.2799999999999994</v>
      </c>
      <c r="E216" s="256">
        <f>IF(ISERROR(E45/Asset!F93),"",IF(E45/Asset!F93=0,"",ROUND(E45/Asset!F93*100,2)))</f>
        <v>5.25</v>
      </c>
      <c r="F216" s="256">
        <f>IF(ISERROR(F45/Asset!G93),"",IF(F45/Asset!G93=0,"",ROUND(F45/Asset!G93*100,2)))</f>
        <v>12.23</v>
      </c>
      <c r="G216" s="256">
        <f>IF(ISERROR(G45/Asset!H93),"",IF(G45/Asset!H93=0,"",ROUND(G45/Asset!H93*100,2)))</f>
        <v>19.420000000000002</v>
      </c>
      <c r="H216" s="256">
        <f>IF(ISERROR(H45/Asset!I93),"",IF(H45/Asset!I93=0,"",ROUND(H45/Asset!I93*100,2)))</f>
        <v>19.559999999999999</v>
      </c>
      <c r="I216" s="256">
        <f>IF(ISERROR(I45/Asset!J93),"",IF(I45/Asset!J93=0,"",ROUND(I45/Asset!J93*100,2)))</f>
        <v>19.38</v>
      </c>
      <c r="J216" s="256">
        <f>IF(ISERROR(J45/Asset!K93),"",IF(J45/Asset!K93=0,"",ROUND(J45/Asset!K93*100,2)))</f>
        <v>19.100000000000001</v>
      </c>
      <c r="K216" s="256">
        <f>IF(ISERROR(K45/Asset!L93),"",IF(K45/Asset!L93=0,"",ROUND(K45/Asset!L93*100,2)))</f>
        <v>19.04</v>
      </c>
      <c r="L216" s="256">
        <f>IF(ISERROR(L45/Asset!M93),"",IF(L45/Asset!M93=0,"",ROUND(L45/Asset!M93*100,2)))</f>
        <v>19.7</v>
      </c>
      <c r="M216" s="256" t="str">
        <f>IF(ISERROR(M45/Asset!N93),"",IF(M45/Asset!N93=0,"",ROUND(M45/Asset!N93*100,2)))</f>
        <v/>
      </c>
      <c r="N216" s="256" t="str">
        <f>IF(ISERROR(N45/Asset!O93),"",IF(N45/Asset!O93=0,"",ROUND(N45/Asset!O93*100,2)))</f>
        <v/>
      </c>
      <c r="O216" s="256" t="str">
        <f>IF(ISERROR(O45/Asset!P93),"",IF(O45/Asset!P93=0,"",ROUND(O45/Asset!P93*100,2)))</f>
        <v/>
      </c>
      <c r="P216" s="256" t="str">
        <f>IF(ISERROR(P45/Asset!Q93),"",IF(P45/Asset!Q93=0,"",ROUND(P45/Asset!Q93*100,2)))</f>
        <v/>
      </c>
      <c r="Q216" s="256" t="str">
        <f>IF(ISERROR(Q45/Asset!R93),"",IF(Q45/Asset!R93=0,"",ROUND(Q45/Asset!R93*100,2)))</f>
        <v/>
      </c>
      <c r="R216" s="256" t="str">
        <f>IF(ISERROR(R45/Asset!S93),"",IF(R45/Asset!S93=0,"",ROUND(R45/Asset!S93*100,2)))</f>
        <v/>
      </c>
      <c r="S216" s="256" t="str">
        <f>IF(ISERROR(S45/Asset!T93),"",IF(S45/Asset!T93=0,"",ROUND(S45/Asset!T93*100,2)))</f>
        <v/>
      </c>
      <c r="T216" s="256" t="str">
        <f>IF(ISERROR(T45/Asset!U93),"",IF(T45/Asset!U93=0,"",ROUND(T45/Asset!U93*100,2)))</f>
        <v/>
      </c>
      <c r="U216" s="256" t="str">
        <f>IF(ISERROR(U45/Asset!V93),"",IF(U45/Asset!V93=0,"",ROUND(U45/Asset!V93*100,2)))</f>
        <v/>
      </c>
      <c r="V216" s="612"/>
    </row>
    <row r="217" spans="1:22" ht="14.25" hidden="1" customHeight="1" x14ac:dyDescent="0.2">
      <c r="A217" s="262" t="s">
        <v>764</v>
      </c>
      <c r="B217" s="256">
        <f>IF(ISERROR(('Oper.St.'!C95-'Oper.St.'!C100)/Asset!C93),"",IF(('Oper.St.'!C95-'Oper.St.'!C100)/Asset!C93=0,"",ROUND(('Oper.St.'!C95-'Oper.St.'!C100)/Asset!C93*100,2)))</f>
        <v>25</v>
      </c>
      <c r="C217" s="256">
        <f>IF(ISERROR(('Oper.St.'!D95-'Oper.St.'!D100)/Asset!D93),"",IF(('Oper.St.'!D95-'Oper.St.'!D100)/Asset!D93=0,"",ROUND(('Oper.St.'!D95-'Oper.St.'!D100)/Asset!D93*100,2)))</f>
        <v>20.45</v>
      </c>
      <c r="D217" s="256">
        <f>IF(ISERROR(('Oper.St.'!E95-'Oper.St.'!E100)/Asset!E93),"",IF(('Oper.St.'!E95-'Oper.St.'!E100)/Asset!E93=0,"",ROUND(('Oper.St.'!E95-'Oper.St.'!E100)/Asset!E93*100,2)))</f>
        <v>5.57</v>
      </c>
      <c r="E217" s="256">
        <f>IF(ISERROR(('Oper.St.'!F95-'Oper.St.'!F100)/Asset!F93),"",IF(('Oper.St.'!F95-'Oper.St.'!F100)/Asset!F93=0,"",ROUND(('Oper.St.'!F95-'Oper.St.'!F100)/Asset!F93*100,2)))</f>
        <v>1.42</v>
      </c>
      <c r="F217" s="256">
        <f>IF(ISERROR(('Oper.St.'!G95-'Oper.St.'!G100)/Asset!G93),"",IF(('Oper.St.'!G95-'Oper.St.'!G100)/Asset!G93=0,"",ROUND(('Oper.St.'!G95-'Oper.St.'!G100)/Asset!G93*100,2)))</f>
        <v>2.09</v>
      </c>
      <c r="G217" s="256">
        <f>IF(ISERROR(('Oper.St.'!H95-'Oper.St.'!H100)/Asset!H93),"",IF(('Oper.St.'!H95-'Oper.St.'!H100)/Asset!H93=0,"",ROUND(('Oper.St.'!H95-'Oper.St.'!H100)/Asset!H93*100,2)))</f>
        <v>4.3600000000000003</v>
      </c>
      <c r="H217" s="256">
        <f>IF(ISERROR(('Oper.St.'!I95-'Oper.St.'!I100)/Asset!I93),"",IF(('Oper.St.'!I95-'Oper.St.'!I100)/Asset!I93=0,"",ROUND(('Oper.St.'!I95-'Oper.St.'!I100)/Asset!I93*100,2)))</f>
        <v>5.84</v>
      </c>
      <c r="I217" s="256">
        <f>IF(ISERROR(('Oper.St.'!J95-'Oper.St.'!J100)/Asset!J93),"",IF(('Oper.St.'!J95-'Oper.St.'!J100)/Asset!J93=0,"",ROUND(('Oper.St.'!J95-'Oper.St.'!J100)/Asset!J93*100,2)))</f>
        <v>6.64</v>
      </c>
      <c r="J217" s="256">
        <f>IF(ISERROR(('Oper.St.'!K95-'Oper.St.'!K100)/Asset!K93),"",IF(('Oper.St.'!K95-'Oper.St.'!K100)/Asset!K93=0,"",ROUND(('Oper.St.'!K95-'Oper.St.'!K100)/Asset!K93*100,2)))</f>
        <v>7.38</v>
      </c>
      <c r="K217" s="256">
        <f>IF(ISERROR(('Oper.St.'!L95-'Oper.St.'!L100)/Asset!L93),"",IF(('Oper.St.'!L95-'Oper.St.'!L100)/Asset!L93=0,"",ROUND(('Oper.St.'!L95-'Oper.St.'!L100)/Asset!L93*100,2)))</f>
        <v>8.2799999999999994</v>
      </c>
      <c r="L217" s="256">
        <f>IF(ISERROR(('Oper.St.'!M95-'Oper.St.'!M100)/Asset!M93),"",IF(('Oper.St.'!M95-'Oper.St.'!M100)/Asset!M93=0,"",ROUND(('Oper.St.'!M95-'Oper.St.'!M100)/Asset!M93*100,2)))</f>
        <v>9.7200000000000006</v>
      </c>
      <c r="M217" s="256" t="str">
        <f>IF(ISERROR(('Oper.St.'!N95-'Oper.St.'!N100)/Asset!N93),"",IF(('Oper.St.'!N95-'Oper.St.'!N100)/Asset!N93=0,"",ROUND(('Oper.St.'!N95-'Oper.St.'!N100)/Asset!N93*100,2)))</f>
        <v/>
      </c>
      <c r="N217" s="256" t="str">
        <f>IF(ISERROR(('Oper.St.'!O95-'Oper.St.'!O100)/Asset!O93),"",IF(('Oper.St.'!O95-'Oper.St.'!O100)/Asset!O93=0,"",ROUND(('Oper.St.'!O95-'Oper.St.'!O100)/Asset!O93*100,2)))</f>
        <v/>
      </c>
      <c r="O217" s="256" t="str">
        <f>IF(ISERROR(('Oper.St.'!P95-'Oper.St.'!P100)/Asset!P93),"",IF(('Oper.St.'!P95-'Oper.St.'!P100)/Asset!P93=0,"",ROUND(('Oper.St.'!P95-'Oper.St.'!P100)/Asset!P93*100,2)))</f>
        <v/>
      </c>
      <c r="P217" s="256" t="str">
        <f>IF(ISERROR(('Oper.St.'!Q95-'Oper.St.'!Q100)/Asset!Q93),"",IF(('Oper.St.'!Q95-'Oper.St.'!Q100)/Asset!Q93=0,"",ROUND(('Oper.St.'!Q95-'Oper.St.'!Q100)/Asset!Q93*100,2)))</f>
        <v/>
      </c>
      <c r="Q217" s="256" t="str">
        <f>IF(ISERROR(('Oper.St.'!R95-'Oper.St.'!R100)/Asset!R93),"",IF(('Oper.St.'!R95-'Oper.St.'!R100)/Asset!R93=0,"",ROUND(('Oper.St.'!R95-'Oper.St.'!R100)/Asset!R93*100,2)))</f>
        <v/>
      </c>
      <c r="R217" s="256" t="str">
        <f>IF(ISERROR(('Oper.St.'!S95-'Oper.St.'!S100)/Asset!S93),"",IF(('Oper.St.'!S95-'Oper.St.'!S100)/Asset!S93=0,"",ROUND(('Oper.St.'!S95-'Oper.St.'!S100)/Asset!S93*100,2)))</f>
        <v/>
      </c>
      <c r="S217" s="256" t="str">
        <f>IF(ISERROR(('Oper.St.'!T95-'Oper.St.'!T100)/Asset!T93),"",IF(('Oper.St.'!T95-'Oper.St.'!T100)/Asset!T93=0,"",ROUND(('Oper.St.'!T95-'Oper.St.'!T100)/Asset!T93*100,2)))</f>
        <v/>
      </c>
      <c r="T217" s="256" t="str">
        <f>IF(ISERROR(('Oper.St.'!U95-'Oper.St.'!U100)/Asset!U93),"",IF(('Oper.St.'!U95-'Oper.St.'!U100)/Asset!U93=0,"",ROUND(('Oper.St.'!U95-'Oper.St.'!U100)/Asset!U93*100,2)))</f>
        <v/>
      </c>
      <c r="U217" s="256" t="str">
        <f>IF(ISERROR(('Oper.St.'!V95-'Oper.St.'!V100)/Asset!V93),"",IF(('Oper.St.'!V95-'Oper.St.'!V100)/Asset!V93=0,"",ROUND(('Oper.St.'!V95-'Oper.St.'!V100)/Asset!V93*100,2)))</f>
        <v/>
      </c>
      <c r="V217" s="612"/>
    </row>
    <row r="218" spans="1:22" ht="14.25" hidden="1" customHeight="1" x14ac:dyDescent="0.2">
      <c r="A218" s="262" t="s">
        <v>439</v>
      </c>
      <c r="B218" s="256" t="str">
        <f>IF(ISERROR(B45/B23),"",IF(B45/B23=0,"",ROUND(B45/B23,2)))</f>
        <v/>
      </c>
      <c r="C218" s="256" t="str">
        <f>IF(ISERROR(C45/C23),"",IF(C45/C23=0,"",ROUND(C45/C23,2)))</f>
        <v/>
      </c>
      <c r="D218" s="256">
        <f t="shared" ref="D218:U218" si="79">IF(ISERROR(D45/D23),"",IF(D45/D23=0,"",ROUND(D45/D23,2)))</f>
        <v>9</v>
      </c>
      <c r="E218" s="256">
        <f t="shared" si="79"/>
        <v>1.7</v>
      </c>
      <c r="F218" s="256">
        <f t="shared" si="79"/>
        <v>3.6</v>
      </c>
      <c r="G218" s="256">
        <f t="shared" si="79"/>
        <v>4.6500000000000004</v>
      </c>
      <c r="H218" s="256">
        <f t="shared" si="79"/>
        <v>5.65</v>
      </c>
      <c r="I218" s="256">
        <f t="shared" si="79"/>
        <v>6.35</v>
      </c>
      <c r="J218" s="256">
        <f t="shared" si="79"/>
        <v>7.6</v>
      </c>
      <c r="K218" s="256">
        <f t="shared" si="79"/>
        <v>10.18</v>
      </c>
      <c r="L218" s="256">
        <f t="shared" si="79"/>
        <v>17.940000000000001</v>
      </c>
      <c r="M218" s="256" t="str">
        <f t="shared" si="79"/>
        <v/>
      </c>
      <c r="N218" s="256" t="str">
        <f t="shared" si="79"/>
        <v/>
      </c>
      <c r="O218" s="256" t="str">
        <f t="shared" si="79"/>
        <v/>
      </c>
      <c r="P218" s="256" t="str">
        <f t="shared" si="79"/>
        <v/>
      </c>
      <c r="Q218" s="256" t="str">
        <f t="shared" si="79"/>
        <v/>
      </c>
      <c r="R218" s="256" t="str">
        <f t="shared" si="79"/>
        <v/>
      </c>
      <c r="S218" s="256" t="str">
        <f t="shared" si="79"/>
        <v/>
      </c>
      <c r="T218" s="256" t="str">
        <f t="shared" si="79"/>
        <v/>
      </c>
      <c r="U218" s="256" t="str">
        <f t="shared" si="79"/>
        <v/>
      </c>
      <c r="V218" s="612"/>
    </row>
    <row r="219" spans="1:22" ht="14.25" hidden="1" customHeight="1" x14ac:dyDescent="0.2">
      <c r="A219" s="262" t="s">
        <v>440</v>
      </c>
      <c r="B219" s="256">
        <f>IF(ISERROR(B33/B7),"",IF(B33/B7=0,"",ROUND(B33/B7*100,2)))</f>
        <v>8.75</v>
      </c>
      <c r="C219" s="256">
        <f>IF(ISERROR(C33/C7),"",IF(C33/C7=0,"",ROUND(C33/C7*100,2)))</f>
        <v>8.57</v>
      </c>
      <c r="D219" s="256">
        <f t="shared" ref="D219:U219" si="80">IF(ISERROR(D33/D7),"",IF(D33/D7=0,"",ROUND(D33/D7*100,2)))</f>
        <v>12.27</v>
      </c>
      <c r="E219" s="256">
        <f t="shared" si="80"/>
        <v>5.43</v>
      </c>
      <c r="F219" s="256">
        <f t="shared" si="80"/>
        <v>2.8</v>
      </c>
      <c r="G219" s="256">
        <f t="shared" si="80"/>
        <v>3.49</v>
      </c>
      <c r="H219" s="256">
        <f t="shared" si="80"/>
        <v>4.03</v>
      </c>
      <c r="I219" s="256">
        <f t="shared" si="80"/>
        <v>4.13</v>
      </c>
      <c r="J219" s="256">
        <f t="shared" si="80"/>
        <v>4.17</v>
      </c>
      <c r="K219" s="256">
        <f t="shared" si="80"/>
        <v>4.26</v>
      </c>
      <c r="L219" s="256">
        <f t="shared" si="80"/>
        <v>4.54</v>
      </c>
      <c r="M219" s="256" t="str">
        <f t="shared" si="80"/>
        <v/>
      </c>
      <c r="N219" s="256" t="str">
        <f t="shared" si="80"/>
        <v/>
      </c>
      <c r="O219" s="256" t="str">
        <f t="shared" si="80"/>
        <v/>
      </c>
      <c r="P219" s="256" t="str">
        <f t="shared" si="80"/>
        <v/>
      </c>
      <c r="Q219" s="256" t="str">
        <f t="shared" si="80"/>
        <v/>
      </c>
      <c r="R219" s="256" t="str">
        <f t="shared" si="80"/>
        <v/>
      </c>
      <c r="S219" s="256" t="str">
        <f t="shared" si="80"/>
        <v/>
      </c>
      <c r="T219" s="256" t="str">
        <f t="shared" si="80"/>
        <v/>
      </c>
      <c r="U219" s="256" t="str">
        <f t="shared" si="80"/>
        <v/>
      </c>
      <c r="V219" s="612"/>
    </row>
    <row r="220" spans="1:22" ht="28.5" hidden="1" customHeight="1" x14ac:dyDescent="0.2">
      <c r="A220" s="263" t="s">
        <v>442</v>
      </c>
      <c r="B220" s="256">
        <f>IF(ISERROR(('Oper.St.'!C95-'Oper.St.'!C100+'Oper.St.'!C47)/Liab!C80),"",IF(('Oper.St.'!C95-'Oper.St.'!C100+'Oper.St.'!C47)/Liab!C80=0,"",ROUND(('Oper.St.'!C95-'Oper.St.'!C100+'Oper.St.'!C47)/Liab!C80*100,2)))</f>
        <v>50</v>
      </c>
      <c r="C220" s="256">
        <f>IF(ISERROR(('Oper.St.'!D95-'Oper.St.'!D100+'Oper.St.'!D47)/Liab!D80),"",IF(('Oper.St.'!D95-'Oper.St.'!D100+'Oper.St.'!D47)/Liab!D80=0,"",ROUND(('Oper.St.'!D95-'Oper.St.'!D100+'Oper.St.'!D47)/Liab!D80*100,2)))</f>
        <v>40.74</v>
      </c>
      <c r="D220" s="256">
        <f>IF(ISERROR(('Oper.St.'!E95-'Oper.St.'!E100+'Oper.St.'!E47)/Liab!E80),"",IF(('Oper.St.'!E95-'Oper.St.'!E100+'Oper.St.'!E47)/Liab!E80=0,"",ROUND(('Oper.St.'!E95-'Oper.St.'!E100+'Oper.St.'!E47)/Liab!E80*100,2)))</f>
        <v>6.58</v>
      </c>
      <c r="E220" s="256">
        <f>IF(ISERROR(('Oper.St.'!F95-'Oper.St.'!F100+'Oper.St.'!F47)/Liab!F80),"",IF(('Oper.St.'!F95-'Oper.St.'!F100+'Oper.St.'!F47)/Liab!F80=0,"",ROUND(('Oper.St.'!F95-'Oper.St.'!F100+'Oper.St.'!F47)/Liab!F80*100,2)))</f>
        <v>3.59</v>
      </c>
      <c r="F220" s="256">
        <f>IF(ISERROR(('Oper.St.'!G95-'Oper.St.'!G100+'Oper.St.'!G47)/Liab!G80),"",IF(('Oper.St.'!G95-'Oper.St.'!G100+'Oper.St.'!G47)/Liab!G80=0,"",ROUND(('Oper.St.'!G95-'Oper.St.'!G100+'Oper.St.'!G47)/Liab!G80*100,2)))</f>
        <v>13.76</v>
      </c>
      <c r="G220" s="256">
        <f>IF(ISERROR(('Oper.St.'!H95-'Oper.St.'!H100+'Oper.St.'!H47)/Liab!H80),"",IF(('Oper.St.'!H95-'Oper.St.'!H100+'Oper.St.'!H47)/Liab!H80=0,"",ROUND(('Oper.St.'!H95-'Oper.St.'!H100+'Oper.St.'!H47)/Liab!H80*100,2)))</f>
        <v>24.56</v>
      </c>
      <c r="H220" s="256">
        <f>IF(ISERROR(('Oper.St.'!I95-'Oper.St.'!I100+'Oper.St.'!I47)/Liab!I80),"",IF(('Oper.St.'!I95-'Oper.St.'!I100+'Oper.St.'!I47)/Liab!I80=0,"",ROUND(('Oper.St.'!I95-'Oper.St.'!I100+'Oper.St.'!I47)/Liab!I80*100,2)))</f>
        <v>27.63</v>
      </c>
      <c r="I220" s="256">
        <f>IF(ISERROR(('Oper.St.'!J95-'Oper.St.'!J100+'Oper.St.'!J47)/Liab!J80),"",IF(('Oper.St.'!J95-'Oper.St.'!J100+'Oper.St.'!J47)/Liab!J80=0,"",ROUND(('Oper.St.'!J95-'Oper.St.'!J100+'Oper.St.'!J47)/Liab!J80*100,2)))</f>
        <v>32.270000000000003</v>
      </c>
      <c r="J220" s="256">
        <f>IF(ISERROR(('Oper.St.'!K95-'Oper.St.'!K100+'Oper.St.'!K47)/Liab!K80),"",IF(('Oper.St.'!K95-'Oper.St.'!K100+'Oper.St.'!K47)/Liab!K80=0,"",ROUND(('Oper.St.'!K95-'Oper.St.'!K100+'Oper.St.'!K47)/Liab!K80*100,2)))</f>
        <v>39.799999999999997</v>
      </c>
      <c r="K220" s="256">
        <f>IF(ISERROR(('Oper.St.'!L95-'Oper.St.'!L100+'Oper.St.'!L47)/Liab!L80),"",IF(('Oper.St.'!L95-'Oper.St.'!L100+'Oper.St.'!L47)/Liab!L80=0,"",ROUND(('Oper.St.'!L95-'Oper.St.'!L100+'Oper.St.'!L47)/Liab!L80*100,2)))</f>
        <v>55.36</v>
      </c>
      <c r="L220" s="256">
        <f>IF(ISERROR(('Oper.St.'!M95-'Oper.St.'!M100+'Oper.St.'!M47)/Liab!M80),"",IF(('Oper.St.'!M95-'Oper.St.'!M100+'Oper.St.'!M47)/Liab!M80=0,"",ROUND(('Oper.St.'!M95-'Oper.St.'!M100+'Oper.St.'!M47)/Liab!M80*100,2)))</f>
        <v>108.5</v>
      </c>
      <c r="M220" s="256" t="str">
        <f>IF(ISERROR(('Oper.St.'!N95-'Oper.St.'!N100+'Oper.St.'!N47)/Liab!N80),"",IF(('Oper.St.'!N95-'Oper.St.'!N100+'Oper.St.'!N47)/Liab!N80=0,"",ROUND(('Oper.St.'!N95-'Oper.St.'!N100+'Oper.St.'!N47)/Liab!N80*100,2)))</f>
        <v/>
      </c>
      <c r="N220" s="256" t="str">
        <f>IF(ISERROR(('Oper.St.'!O95-'Oper.St.'!O100+'Oper.St.'!O47)/Liab!O80),"",IF(('Oper.St.'!O95-'Oper.St.'!O100+'Oper.St.'!O47)/Liab!O80=0,"",ROUND(('Oper.St.'!O95-'Oper.St.'!O100+'Oper.St.'!O47)/Liab!O80*100,2)))</f>
        <v/>
      </c>
      <c r="O220" s="256" t="str">
        <f>IF(ISERROR(('Oper.St.'!P95-'Oper.St.'!P100+'Oper.St.'!P47)/Liab!P80),"",IF(('Oper.St.'!P95-'Oper.St.'!P100+'Oper.St.'!P47)/Liab!P80=0,"",ROUND(('Oper.St.'!P95-'Oper.St.'!P100+'Oper.St.'!P47)/Liab!P80*100,2)))</f>
        <v/>
      </c>
      <c r="P220" s="256" t="str">
        <f>IF(ISERROR(('Oper.St.'!Q95-'Oper.St.'!Q100+'Oper.St.'!Q47)/Liab!Q80),"",IF(('Oper.St.'!Q95-'Oper.St.'!Q100+'Oper.St.'!Q47)/Liab!Q80=0,"",ROUND(('Oper.St.'!Q95-'Oper.St.'!Q100+'Oper.St.'!Q47)/Liab!Q80*100,2)))</f>
        <v/>
      </c>
      <c r="Q220" s="256" t="str">
        <f>IF(ISERROR(('Oper.St.'!R95-'Oper.St.'!R100+'Oper.St.'!R47)/Liab!R80),"",IF(('Oper.St.'!R95-'Oper.St.'!R100+'Oper.St.'!R47)/Liab!R80=0,"",ROUND(('Oper.St.'!R95-'Oper.St.'!R100+'Oper.St.'!R47)/Liab!R80*100,2)))</f>
        <v/>
      </c>
      <c r="R220" s="256" t="str">
        <f>IF(ISERROR(('Oper.St.'!S95-'Oper.St.'!S100+'Oper.St.'!S47)/Liab!S80),"",IF(('Oper.St.'!S95-'Oper.St.'!S100+'Oper.St.'!S47)/Liab!S80=0,"",ROUND(('Oper.St.'!S95-'Oper.St.'!S100+'Oper.St.'!S47)/Liab!S80*100,2)))</f>
        <v/>
      </c>
      <c r="S220" s="256" t="str">
        <f>IF(ISERROR(('Oper.St.'!T95-'Oper.St.'!T100+'Oper.St.'!T47)/Liab!T80),"",IF(('Oper.St.'!T95-'Oper.St.'!T100+'Oper.St.'!T47)/Liab!T80=0,"",ROUND(('Oper.St.'!T95-'Oper.St.'!T100+'Oper.St.'!T47)/Liab!T80*100,2)))</f>
        <v/>
      </c>
      <c r="T220" s="256" t="str">
        <f>IF(ISERROR(('Oper.St.'!U95-'Oper.St.'!U100+'Oper.St.'!U47)/Liab!U80),"",IF(('Oper.St.'!U95-'Oper.St.'!U100+'Oper.St.'!U47)/Liab!U80=0,"",ROUND(('Oper.St.'!U95-'Oper.St.'!U100+'Oper.St.'!U47)/Liab!U80*100,2)))</f>
        <v/>
      </c>
      <c r="U220" s="256" t="str">
        <f>IF(ISERROR(('Oper.St.'!V95-'Oper.St.'!V100+'Oper.St.'!V47)/Liab!V80),"",IF(('Oper.St.'!V95-'Oper.St.'!V100+'Oper.St.'!V47)/Liab!V80=0,"",ROUND(('Oper.St.'!V95-'Oper.St.'!V100+'Oper.St.'!V47)/Liab!V80*100,2)))</f>
        <v/>
      </c>
      <c r="V220" s="612"/>
    </row>
    <row r="221" spans="1:22" ht="42.75" hidden="1" customHeight="1" x14ac:dyDescent="0.2">
      <c r="A221" s="264" t="s">
        <v>441</v>
      </c>
      <c r="B221" s="256">
        <f>IF(ISERROR((Asset!C40/'Oper.St.'!C23*365)+((Asset!C24+Asset!C75+Asset!C76)/'Oper.St.'!C17*365)),"",IF((Asset!C40/'Oper.St.'!C23*365)+((Asset!C24+Asset!C75+Asset!C76)/'Oper.St.'!C17*365)=0,"",ROUND((Asset!C40/'Oper.St.'!C23*365)+((Asset!C24+Asset!C75+Asset!C76)/'Oper.St.'!C17*365),0)))</f>
        <v>5</v>
      </c>
      <c r="C221" s="256">
        <f>IF(ISERROR((Asset!D40/'Oper.St.'!D23*365)+((Asset!D24+Asset!D75+Asset!D76)/'Oper.St.'!D17*365)),"",IF((Asset!D40/'Oper.St.'!D23*365)+((Asset!D24+Asset!D75+Asset!D76)/'Oper.St.'!D17*365)=0,"",ROUND((Asset!D40/'Oper.St.'!D23*365)+((Asset!D24+Asset!D75+Asset!D76)/'Oper.St.'!D17*365),0)))</f>
        <v>35</v>
      </c>
      <c r="D221" s="256">
        <f>IF(ISERROR((Asset!E40/'Oper.St.'!E23*365)+((Asset!E24+Asset!E75+Asset!E76)/'Oper.St.'!E17*365)),"",IF((Asset!E40/'Oper.St.'!E23*365)+((Asset!E24+Asset!E75+Asset!E76)/'Oper.St.'!E17*365)=0,"",ROUND((Asset!E40/'Oper.St.'!E23*365)+((Asset!E24+Asset!E75+Asset!E76)/'Oper.St.'!E17*365),0)))</f>
        <v>48</v>
      </c>
      <c r="E221" s="256">
        <f>IF(ISERROR((Asset!F40/'Oper.St.'!F23*365)+((Asset!F24+Asset!F75+Asset!F76)/'Oper.St.'!F17*365)),"",IF((Asset!F40/'Oper.St.'!F23*365)+((Asset!F24+Asset!F75+Asset!F76)/'Oper.St.'!F17*365)=0,"",ROUND((Asset!F40/'Oper.St.'!F23*365)+((Asset!F24+Asset!F75+Asset!F76)/'Oper.St.'!F17*365),0)))</f>
        <v>55</v>
      </c>
      <c r="F221" s="256">
        <f>IF(ISERROR((Asset!G40/'Oper.St.'!G23*365)+((Asset!G24+Asset!G75+Asset!G76)/'Oper.St.'!G17*365)),"",IF((Asset!G40/'Oper.St.'!G23*365)+((Asset!G24+Asset!G75+Asset!G76)/'Oper.St.'!G17*365)=0,"",ROUND((Asset!G40/'Oper.St.'!G23*365)+((Asset!G24+Asset!G75+Asset!G76)/'Oper.St.'!G17*365),0)))</f>
        <v>82</v>
      </c>
      <c r="G221" s="256">
        <f>IF(ISERROR((Asset!H40/'Oper.St.'!H23*365)+((Asset!H24+Asset!H75+Asset!H76)/'Oper.St.'!H17*365)),"",IF((Asset!H40/'Oper.St.'!H23*365)+((Asset!H24+Asset!H75+Asset!H76)/'Oper.St.'!H17*365)=0,"",ROUND((Asset!H40/'Oper.St.'!H23*365)+((Asset!H24+Asset!H75+Asset!H76)/'Oper.St.'!H17*365),0)))</f>
        <v>78</v>
      </c>
      <c r="H221" s="256">
        <f>IF(ISERROR((Asset!I40/'Oper.St.'!I23*365)+((Asset!I24+Asset!I75+Asset!I76)/'Oper.St.'!I17*365)),"",IF((Asset!I40/'Oper.St.'!I23*365)+((Asset!I24+Asset!I75+Asset!I76)/'Oper.St.'!I17*365)=0,"",ROUND((Asset!I40/'Oper.St.'!I23*365)+((Asset!I24+Asset!I75+Asset!I76)/'Oper.St.'!I17*365),0)))</f>
        <v>86</v>
      </c>
      <c r="I221" s="256">
        <f>IF(ISERROR((Asset!J40/'Oper.St.'!J23*365)+((Asset!J24+Asset!J75+Asset!J76)/'Oper.St.'!J17*365)),"",IF((Asset!J40/'Oper.St.'!J23*365)+((Asset!J24+Asset!J75+Asset!J76)/'Oper.St.'!J17*365)=0,"",ROUND((Asset!J40/'Oper.St.'!J23*365)+((Asset!J24+Asset!J75+Asset!J76)/'Oper.St.'!J17*365),0)))</f>
        <v>87</v>
      </c>
      <c r="J221" s="256">
        <f>IF(ISERROR((Asset!K40/'Oper.St.'!K23*365)+((Asset!K24+Asset!K75+Asset!K76)/'Oper.St.'!K17*365)),"",IF((Asset!K40/'Oper.St.'!K23*365)+((Asset!K24+Asset!K75+Asset!K76)/'Oper.St.'!K17*365)=0,"",ROUND((Asset!K40/'Oper.St.'!K23*365)+((Asset!K24+Asset!K75+Asset!K76)/'Oper.St.'!K17*365),0)))</f>
        <v>87</v>
      </c>
      <c r="K221" s="256">
        <f>IF(ISERROR((Asset!L40/'Oper.St.'!L23*365)+((Asset!L24+Asset!L75+Asset!L76)/'Oper.St.'!L17*365)),"",IF((Asset!L40/'Oper.St.'!L23*365)+((Asset!L24+Asset!L75+Asset!L76)/'Oper.St.'!L17*365)=0,"",ROUND((Asset!L40/'Oper.St.'!L23*365)+((Asset!L24+Asset!L75+Asset!L76)/'Oper.St.'!L17*365),0)))</f>
        <v>85</v>
      </c>
      <c r="L221" s="256">
        <f>IF(ISERROR((Asset!M40/'Oper.St.'!M23*365)+((Asset!M24+Asset!M75+Asset!M76)/'Oper.St.'!M17*365)),"",IF((Asset!M40/'Oper.St.'!M23*365)+((Asset!M24+Asset!M75+Asset!M76)/'Oper.St.'!M17*365)=0,"",ROUND((Asset!M40/'Oper.St.'!M23*365)+((Asset!M24+Asset!M75+Asset!M76)/'Oper.St.'!M17*365),0)))</f>
        <v>82</v>
      </c>
      <c r="M221" s="256" t="str">
        <f>IF(ISERROR((Asset!N40/'Oper.St.'!N23*365)+((Asset!N24+Asset!N75+Asset!N76)/'Oper.St.'!N17*365)),"",IF((Asset!N40/'Oper.St.'!N23*365)+((Asset!N24+Asset!N75+Asset!N76)/'Oper.St.'!N17*365)=0,"",ROUND((Asset!N40/'Oper.St.'!N23*365)+((Asset!N24+Asset!N75+Asset!N76)/'Oper.St.'!N17*365),0)))</f>
        <v/>
      </c>
      <c r="N221" s="256" t="str">
        <f>IF(ISERROR((Asset!O40/'Oper.St.'!O23*365)+((Asset!O24+Asset!O75+Asset!O76)/'Oper.St.'!O17*365)),"",IF((Asset!O40/'Oper.St.'!O23*365)+((Asset!O24+Asset!O75+Asset!O76)/'Oper.St.'!O17*365)=0,"",ROUND((Asset!O40/'Oper.St.'!O23*365)+((Asset!O24+Asset!O75+Asset!O76)/'Oper.St.'!O17*365),0)))</f>
        <v/>
      </c>
      <c r="O221" s="256" t="str">
        <f>IF(ISERROR((Asset!P40/'Oper.St.'!P23*365)+((Asset!P24+Asset!P75+Asset!P76)/'Oper.St.'!P17*365)),"",IF((Asset!P40/'Oper.St.'!P23*365)+((Asset!P24+Asset!P75+Asset!P76)/'Oper.St.'!P17*365)=0,"",ROUND((Asset!P40/'Oper.St.'!P23*365)+((Asset!P24+Asset!P75+Asset!P76)/'Oper.St.'!P17*365),0)))</f>
        <v/>
      </c>
      <c r="P221" s="256" t="str">
        <f>IF(ISERROR((Asset!Q40/'Oper.St.'!Q23*365)+((Asset!Q24+Asset!Q75+Asset!Q76)/'Oper.St.'!Q17*365)),"",IF((Asset!Q40/'Oper.St.'!Q23*365)+((Asset!Q24+Asset!Q75+Asset!Q76)/'Oper.St.'!Q17*365)=0,"",ROUND((Asset!Q40/'Oper.St.'!Q23*365)+((Asset!Q24+Asset!Q75+Asset!Q76)/'Oper.St.'!Q17*365),0)))</f>
        <v/>
      </c>
      <c r="Q221" s="256" t="str">
        <f>IF(ISERROR((Asset!R40/'Oper.St.'!R23*365)+((Asset!R24+Asset!R75+Asset!R76)/'Oper.St.'!R17*365)),"",IF((Asset!R40/'Oper.St.'!R23*365)+((Asset!R24+Asset!R75+Asset!R76)/'Oper.St.'!R17*365)=0,"",ROUND((Asset!R40/'Oper.St.'!R23*365)+((Asset!R24+Asset!R75+Asset!R76)/'Oper.St.'!R17*365),0)))</f>
        <v/>
      </c>
      <c r="R221" s="256" t="str">
        <f>IF(ISERROR((Asset!S40/'Oper.St.'!S23*365)+((Asset!S24+Asset!S75+Asset!S76)/'Oper.St.'!S17*365)),"",IF((Asset!S40/'Oper.St.'!S23*365)+((Asset!S24+Asset!S75+Asset!S76)/'Oper.St.'!S17*365)=0,"",ROUND((Asset!S40/'Oper.St.'!S23*365)+((Asset!S24+Asset!S75+Asset!S76)/'Oper.St.'!S17*365),0)))</f>
        <v/>
      </c>
      <c r="S221" s="256" t="str">
        <f>IF(ISERROR((Asset!T40/'Oper.St.'!T23*365)+((Asset!T24+Asset!T75+Asset!T76)/'Oper.St.'!T17*365)),"",IF((Asset!T40/'Oper.St.'!T23*365)+((Asset!T24+Asset!T75+Asset!T76)/'Oper.St.'!T17*365)=0,"",ROUND((Asset!T40/'Oper.St.'!T23*365)+((Asset!T24+Asset!T75+Asset!T76)/'Oper.St.'!T17*365),0)))</f>
        <v/>
      </c>
      <c r="T221" s="256" t="str">
        <f>IF(ISERROR((Asset!U40/'Oper.St.'!U23*365)+((Asset!U24+Asset!U75+Asset!U76)/'Oper.St.'!U17*365)),"",IF((Asset!U40/'Oper.St.'!U23*365)+((Asset!U24+Asset!U75+Asset!U76)/'Oper.St.'!U17*365)=0,"",ROUND((Asset!U40/'Oper.St.'!U23*365)+((Asset!U24+Asset!U75+Asset!U76)/'Oper.St.'!U17*365),0)))</f>
        <v/>
      </c>
      <c r="U221" s="256" t="str">
        <f>IF(ISERROR((Asset!V40/'Oper.St.'!V23*365)+((Asset!V24+Asset!V75+Asset!V76)/'Oper.St.'!V17*365)),"",IF((Asset!V40/'Oper.St.'!V23*365)+((Asset!V24+Asset!V75+Asset!V76)/'Oper.St.'!V17*365)=0,"",ROUND((Asset!V40/'Oper.St.'!V23*365)+((Asset!V24+Asset!V75+Asset!V76)/'Oper.St.'!V17*365),0)))</f>
        <v/>
      </c>
      <c r="V221" s="612"/>
    </row>
    <row r="222" spans="1:22" ht="14.25" hidden="1" customHeight="1" x14ac:dyDescent="0.2">
      <c r="A222" s="265" t="s">
        <v>50</v>
      </c>
      <c r="B222" s="256">
        <f>IF(ISERROR(ROUND(B53,2)),"",ROUND(B53,2))</f>
        <v>0.08</v>
      </c>
      <c r="C222" s="256">
        <f>IF(ISERROR(ROUND(C53,2)),"",ROUND(C53,2))</f>
        <v>0.17</v>
      </c>
      <c r="D222" s="256">
        <f t="shared" ref="D222:U222" si="81">IF(ISERROR(ROUND(D53,2)),"",ROUND(D53,2))</f>
        <v>0.44</v>
      </c>
      <c r="E222" s="256">
        <f t="shared" si="81"/>
        <v>8.57</v>
      </c>
      <c r="F222" s="256">
        <f t="shared" si="81"/>
        <v>11.25</v>
      </c>
      <c r="G222" s="256">
        <f t="shared" si="81"/>
        <v>12.46</v>
      </c>
      <c r="H222" s="256">
        <f t="shared" si="81"/>
        <v>14.11</v>
      </c>
      <c r="I222" s="256">
        <f t="shared" si="81"/>
        <v>15.95</v>
      </c>
      <c r="J222" s="256">
        <f t="shared" si="81"/>
        <v>17.97</v>
      </c>
      <c r="K222" s="256">
        <f t="shared" si="81"/>
        <v>20.190000000000001</v>
      </c>
      <c r="L222" s="256">
        <f t="shared" si="81"/>
        <v>22.74</v>
      </c>
      <c r="M222" s="256">
        <f t="shared" si="81"/>
        <v>12.62</v>
      </c>
      <c r="N222" s="256">
        <f t="shared" si="81"/>
        <v>12.62</v>
      </c>
      <c r="O222" s="256">
        <f t="shared" si="81"/>
        <v>12.62</v>
      </c>
      <c r="P222" s="256">
        <f t="shared" si="81"/>
        <v>12.62</v>
      </c>
      <c r="Q222" s="256">
        <f t="shared" si="81"/>
        <v>12.62</v>
      </c>
      <c r="R222" s="256">
        <f t="shared" si="81"/>
        <v>12.62</v>
      </c>
      <c r="S222" s="256">
        <f t="shared" si="81"/>
        <v>12.62</v>
      </c>
      <c r="T222" s="256">
        <f t="shared" si="81"/>
        <v>12.62</v>
      </c>
      <c r="U222" s="256">
        <f t="shared" si="81"/>
        <v>12.62</v>
      </c>
      <c r="V222" s="612"/>
    </row>
    <row r="223" spans="1:22" ht="18.75" customHeight="1" x14ac:dyDescent="0.25">
      <c r="A223" s="294" t="s">
        <v>905</v>
      </c>
      <c r="B223" s="295"/>
      <c r="C223" s="397"/>
      <c r="D223" s="295"/>
      <c r="E223" s="295"/>
      <c r="F223" s="295"/>
      <c r="G223" s="295"/>
      <c r="H223" s="295"/>
      <c r="I223" s="295"/>
      <c r="J223" s="295"/>
      <c r="K223" s="295"/>
      <c r="L223" s="295"/>
      <c r="M223" s="295"/>
      <c r="N223" s="295"/>
      <c r="O223" s="626"/>
      <c r="P223" s="626"/>
      <c r="Q223" s="626"/>
      <c r="R223" s="626"/>
      <c r="S223" s="626"/>
      <c r="T223" s="626"/>
      <c r="U223" s="626"/>
      <c r="V223" s="612"/>
    </row>
    <row r="224" spans="1:22" ht="18.75" customHeight="1" x14ac:dyDescent="0.25">
      <c r="A224" s="609" t="s">
        <v>553</v>
      </c>
      <c r="B224" s="610"/>
      <c r="C224" s="1089" t="str">
        <f>C2</f>
        <v>M/s BOTHANZI MEDICALS PVT LTD.</v>
      </c>
      <c r="D224" s="1089"/>
      <c r="E224" s="1089"/>
      <c r="F224" s="1089"/>
      <c r="G224" s="1089"/>
      <c r="H224" s="1089"/>
      <c r="I224" s="611"/>
      <c r="J224" s="611"/>
      <c r="K224" s="611"/>
      <c r="L224" s="611"/>
      <c r="M224" s="611"/>
      <c r="N224" s="610"/>
      <c r="O224" s="610"/>
      <c r="P224" s="610"/>
      <c r="Q224" s="610"/>
      <c r="R224" s="610"/>
      <c r="S224" s="610"/>
      <c r="T224" s="610"/>
      <c r="U224" s="610"/>
      <c r="V224" s="612"/>
    </row>
    <row r="225" spans="1:22" s="297" customFormat="1" ht="12.75" customHeight="1" x14ac:dyDescent="0.25">
      <c r="A225" s="296"/>
      <c r="B225" s="261">
        <f t="shared" ref="B225:B256" si="82">B3</f>
        <v>2020</v>
      </c>
      <c r="C225" s="261">
        <f t="shared" ref="C225:O225" si="83">C3</f>
        <v>2021</v>
      </c>
      <c r="D225" s="261">
        <f t="shared" si="83"/>
        <v>2022</v>
      </c>
      <c r="E225" s="261">
        <f t="shared" si="83"/>
        <v>2023</v>
      </c>
      <c r="F225" s="261">
        <f t="shared" si="83"/>
        <v>2024</v>
      </c>
      <c r="G225" s="261">
        <f t="shared" si="83"/>
        <v>2025</v>
      </c>
      <c r="H225" s="261">
        <f t="shared" si="83"/>
        <v>2026</v>
      </c>
      <c r="I225" s="261">
        <f t="shared" si="83"/>
        <v>2027</v>
      </c>
      <c r="J225" s="261">
        <f t="shared" si="83"/>
        <v>2028</v>
      </c>
      <c r="K225" s="261">
        <f t="shared" si="83"/>
        <v>2029</v>
      </c>
      <c r="L225" s="261">
        <f t="shared" si="83"/>
        <v>2030</v>
      </c>
      <c r="M225" s="261">
        <f t="shared" si="83"/>
        <v>2031</v>
      </c>
      <c r="N225" s="261">
        <f t="shared" si="83"/>
        <v>2032</v>
      </c>
      <c r="O225" s="261">
        <f t="shared" si="83"/>
        <v>2033</v>
      </c>
      <c r="P225" s="261">
        <f t="shared" ref="P225:U225" si="84">P3</f>
        <v>2034</v>
      </c>
      <c r="Q225" s="261">
        <f t="shared" si="84"/>
        <v>2035</v>
      </c>
      <c r="R225" s="261">
        <f t="shared" si="84"/>
        <v>2036</v>
      </c>
      <c r="S225" s="261">
        <f t="shared" si="84"/>
        <v>2037</v>
      </c>
      <c r="T225" s="261">
        <f t="shared" si="84"/>
        <v>2038</v>
      </c>
      <c r="U225" s="261">
        <f t="shared" si="84"/>
        <v>2039</v>
      </c>
      <c r="V225" s="613"/>
    </row>
    <row r="226" spans="1:22" s="297" customFormat="1" ht="12.75" customHeight="1" x14ac:dyDescent="0.25">
      <c r="A226" s="298"/>
      <c r="B226" s="261" t="str">
        <f t="shared" si="82"/>
        <v>AUD.</v>
      </c>
      <c r="C226" s="261" t="str">
        <f t="shared" ref="C226:O226" si="85">C4</f>
        <v>AUD.</v>
      </c>
      <c r="D226" s="261" t="str">
        <f t="shared" si="85"/>
        <v>AUD.</v>
      </c>
      <c r="E226" s="261" t="str">
        <f t="shared" si="85"/>
        <v>EST.</v>
      </c>
      <c r="F226" s="261" t="str">
        <f t="shared" si="85"/>
        <v>PROJ.</v>
      </c>
      <c r="G226" s="261" t="str">
        <f t="shared" si="85"/>
        <v>PROJ.</v>
      </c>
      <c r="H226" s="261" t="str">
        <f t="shared" si="85"/>
        <v>PROJ.</v>
      </c>
      <c r="I226" s="261" t="str">
        <f t="shared" si="85"/>
        <v>PROJ.</v>
      </c>
      <c r="J226" s="261" t="str">
        <f t="shared" si="85"/>
        <v>PROJ.</v>
      </c>
      <c r="K226" s="261" t="str">
        <f t="shared" si="85"/>
        <v>PROJ.</v>
      </c>
      <c r="L226" s="261" t="str">
        <f t="shared" si="85"/>
        <v>PROJ.</v>
      </c>
      <c r="M226" s="261" t="str">
        <f t="shared" si="85"/>
        <v>PROJ.</v>
      </c>
      <c r="N226" s="261" t="str">
        <f t="shared" si="85"/>
        <v>PROJ.</v>
      </c>
      <c r="O226" s="261" t="str">
        <f t="shared" si="85"/>
        <v>PROJ.</v>
      </c>
      <c r="P226" s="261" t="str">
        <f t="shared" ref="P226:U226" si="86">P4</f>
        <v>PROJ.</v>
      </c>
      <c r="Q226" s="261" t="str">
        <f t="shared" si="86"/>
        <v>PROJ.</v>
      </c>
      <c r="R226" s="261" t="str">
        <f t="shared" si="86"/>
        <v>PROJ.</v>
      </c>
      <c r="S226" s="261" t="str">
        <f t="shared" si="86"/>
        <v>PROJ.</v>
      </c>
      <c r="T226" s="261" t="str">
        <f t="shared" si="86"/>
        <v>PROJ.</v>
      </c>
      <c r="U226" s="261" t="str">
        <f t="shared" si="86"/>
        <v>PROJ.</v>
      </c>
      <c r="V226" s="613"/>
    </row>
    <row r="227" spans="1:22" s="352" customFormat="1" ht="11.1" hidden="1" customHeight="1" x14ac:dyDescent="0.25">
      <c r="A227" s="351" t="s">
        <v>435</v>
      </c>
      <c r="B227" s="261">
        <f t="shared" si="82"/>
        <v>0.8</v>
      </c>
      <c r="C227" s="348" t="str">
        <f>IF(ISERROR('Oper.St.'!D242),"",IF('Oper.St.'!D242=0,"",'Oper.St.'!D242))</f>
        <v/>
      </c>
      <c r="D227" s="348" t="str">
        <f>IF(ISERROR('Oper.St.'!E242),"",IF('Oper.St.'!E242=0,"",'Oper.St.'!E242))</f>
        <v/>
      </c>
      <c r="E227" s="348" t="str">
        <f>IF(ISERROR('Oper.St.'!F242),"",IF('Oper.St.'!F242=0,"",'Oper.St.'!F242))</f>
        <v/>
      </c>
      <c r="F227" s="348" t="str">
        <f>IF(ISERROR('Oper.St.'!G242),"",IF('Oper.St.'!G242=0,"",'Oper.St.'!G242))</f>
        <v/>
      </c>
      <c r="G227" s="348" t="str">
        <f>IF(ISERROR('Oper.St.'!H242),"",IF('Oper.St.'!H242=0,"",'Oper.St.'!H242))</f>
        <v/>
      </c>
      <c r="H227" s="348" t="str">
        <f>IF(ISERROR('Oper.St.'!I242),"",IF('Oper.St.'!I242=0,"",'Oper.St.'!I242))</f>
        <v/>
      </c>
      <c r="I227" s="348" t="str">
        <f>IF(ISERROR('Oper.St.'!J242),"",IF('Oper.St.'!J242=0,"",'Oper.St.'!J242))</f>
        <v/>
      </c>
      <c r="J227" s="348" t="str">
        <f>IF(ISERROR('Oper.St.'!K242),"",IF('Oper.St.'!K242=0,"",'Oper.St.'!K242))</f>
        <v/>
      </c>
      <c r="K227" s="348" t="str">
        <f>IF(ISERROR('Oper.St.'!L242),"",IF('Oper.St.'!L242=0,"",'Oper.St.'!L242))</f>
        <v/>
      </c>
      <c r="L227" s="348" t="str">
        <f>IF(ISERROR('Oper.St.'!M242),"",IF('Oper.St.'!M242=0,"",'Oper.St.'!M242))</f>
        <v/>
      </c>
      <c r="M227" s="348" t="str">
        <f>IF(ISERROR('Oper.St.'!N242),"",IF('Oper.St.'!N242=0,"",'Oper.St.'!N242))</f>
        <v/>
      </c>
      <c r="N227" s="348" t="str">
        <f>IF(ISERROR('Oper.St.'!O242),"",IF('Oper.St.'!O242=0,"",'Oper.St.'!O242))</f>
        <v/>
      </c>
      <c r="O227" s="348" t="str">
        <f>IF(ISERROR('Oper.St.'!P242),"",IF('Oper.St.'!P242=0,"",'Oper.St.'!P242))</f>
        <v/>
      </c>
      <c r="P227" s="348" t="str">
        <f>IF(ISERROR('Oper.St.'!Q242),"",IF('Oper.St.'!Q242=0,"",'Oper.St.'!Q242))</f>
        <v/>
      </c>
      <c r="Q227" s="348" t="str">
        <f>IF(ISERROR('Oper.St.'!R242),"",IF('Oper.St.'!R242=0,"",'Oper.St.'!R242))</f>
        <v/>
      </c>
      <c r="R227" s="348" t="str">
        <f>IF(ISERROR('Oper.St.'!S242),"",IF('Oper.St.'!S242=0,"",'Oper.St.'!S242))</f>
        <v/>
      </c>
      <c r="S227" s="348" t="str">
        <f>IF(ISERROR('Oper.St.'!T242),"",IF('Oper.St.'!T242=0,"",'Oper.St.'!T242))</f>
        <v/>
      </c>
      <c r="T227" s="348" t="str">
        <f>IF(ISERROR('Oper.St.'!U242),"",IF('Oper.St.'!U242=0,"",'Oper.St.'!U242))</f>
        <v/>
      </c>
      <c r="U227" s="348" t="str">
        <f>IF(ISERROR('Oper.St.'!V242),"",IF('Oper.St.'!V242=0,"",'Oper.St.'!V242))</f>
        <v/>
      </c>
      <c r="V227" s="614"/>
    </row>
    <row r="228" spans="1:22" s="352" customFormat="1" ht="11.1" hidden="1" customHeight="1" x14ac:dyDescent="0.25">
      <c r="A228" s="353"/>
      <c r="B228" s="261" t="str">
        <f t="shared" si="82"/>
        <v/>
      </c>
      <c r="C228" s="350" t="str">
        <f>IF(INPUT!D250="","",CONCATENATE("(",INPUT!D250,")"))</f>
        <v/>
      </c>
      <c r="D228" s="350" t="str">
        <f>IF(INPUT!E250="","",CONCATENATE("(",INPUT!E250,")"))</f>
        <v/>
      </c>
      <c r="E228" s="350" t="str">
        <f>IF(INPUT!F250="","",CONCATENATE("(",INPUT!F250,")"))</f>
        <v/>
      </c>
      <c r="F228" s="350" t="str">
        <f>IF(INPUT!G250="","",CONCATENATE("(",INPUT!G250,")"))</f>
        <v/>
      </c>
      <c r="G228" s="350" t="str">
        <f>IF(INPUT!H250="","",CONCATENATE("(",INPUT!H250,")"))</f>
        <v/>
      </c>
      <c r="H228" s="350" t="str">
        <f>IF(INPUT!I250="","",CONCATENATE("(",INPUT!I250,")"))</f>
        <v/>
      </c>
      <c r="I228" s="350" t="str">
        <f>IF(INPUT!J250="","",CONCATENATE("(",INPUT!J250,")"))</f>
        <v/>
      </c>
      <c r="J228" s="350" t="str">
        <f>IF(INPUT!K250="","",CONCATENATE("(",INPUT!K250,")"))</f>
        <v/>
      </c>
      <c r="K228" s="350" t="str">
        <f>IF(INPUT!L250="","",CONCATENATE("(",INPUT!L250,")"))</f>
        <v/>
      </c>
      <c r="L228" s="350" t="str">
        <f>IF(INPUT!M250="","",CONCATENATE("(",INPUT!M250,")"))</f>
        <v/>
      </c>
      <c r="M228" s="350" t="str">
        <f>IF(INPUT!N250="","",CONCATENATE("(",INPUT!N250,")"))</f>
        <v/>
      </c>
      <c r="N228" s="350" t="str">
        <f>IF(INPUT!O250="","",CONCATENATE("(",INPUT!O250,")"))</f>
        <v/>
      </c>
      <c r="O228" s="350" t="str">
        <f>IF(INPUT!P250="","",CONCATENATE("(",INPUT!P250,")"))</f>
        <v/>
      </c>
      <c r="P228" s="350" t="str">
        <f>IF(INPUT!Q250="","",CONCATENATE("(",INPUT!Q250,")"))</f>
        <v/>
      </c>
      <c r="Q228" s="350" t="str">
        <f>IF(INPUT!R250="","",CONCATENATE("(",INPUT!R250,")"))</f>
        <v/>
      </c>
      <c r="R228" s="350" t="str">
        <f>IF(INPUT!S250="","",CONCATENATE("(",INPUT!S250,")"))</f>
        <v/>
      </c>
      <c r="S228" s="350" t="str">
        <f>IF(INPUT!T250="","",CONCATENATE("(",INPUT!T250,")"))</f>
        <v/>
      </c>
      <c r="T228" s="350" t="str">
        <f>IF(INPUT!U250="","",CONCATENATE("(",INPUT!U250,")"))</f>
        <v/>
      </c>
      <c r="U228" s="350" t="str">
        <f>IF(INPUT!V250="","",CONCATENATE("(",INPUT!V250,")"))</f>
        <v/>
      </c>
      <c r="V228" s="614"/>
    </row>
    <row r="229" spans="1:22" s="355" customFormat="1" ht="11.1" customHeight="1" x14ac:dyDescent="0.2">
      <c r="A229" s="403" t="s">
        <v>436</v>
      </c>
      <c r="B229" s="348">
        <f t="shared" si="82"/>
        <v>0.8</v>
      </c>
      <c r="C229" s="348">
        <f t="shared" ref="C229:U242" si="87">C7</f>
        <v>1.05</v>
      </c>
      <c r="D229" s="348">
        <f t="shared" si="87"/>
        <v>2.2000000000000002</v>
      </c>
      <c r="E229" s="348">
        <f t="shared" si="87"/>
        <v>4</v>
      </c>
      <c r="F229" s="348">
        <f t="shared" si="87"/>
        <v>20</v>
      </c>
      <c r="G229" s="348">
        <f t="shared" si="87"/>
        <v>34.28</v>
      </c>
      <c r="H229" s="348">
        <f t="shared" si="87"/>
        <v>40.42</v>
      </c>
      <c r="I229" s="348">
        <f t="shared" si="87"/>
        <v>44.09</v>
      </c>
      <c r="J229" s="348">
        <f t="shared" si="87"/>
        <v>47.96</v>
      </c>
      <c r="K229" s="348">
        <f t="shared" si="87"/>
        <v>52.03</v>
      </c>
      <c r="L229" s="348">
        <f t="shared" si="87"/>
        <v>56.2</v>
      </c>
      <c r="M229" s="348" t="str">
        <f t="shared" si="87"/>
        <v/>
      </c>
      <c r="N229" s="348" t="str">
        <f t="shared" si="87"/>
        <v/>
      </c>
      <c r="O229" s="348" t="str">
        <f t="shared" si="87"/>
        <v/>
      </c>
      <c r="P229" s="348" t="str">
        <f t="shared" si="87"/>
        <v/>
      </c>
      <c r="Q229" s="348" t="str">
        <f t="shared" si="87"/>
        <v/>
      </c>
      <c r="R229" s="348" t="str">
        <f t="shared" si="87"/>
        <v/>
      </c>
      <c r="S229" s="348" t="str">
        <f t="shared" si="87"/>
        <v/>
      </c>
      <c r="T229" s="348" t="str">
        <f t="shared" si="87"/>
        <v/>
      </c>
      <c r="U229" s="348" t="str">
        <f t="shared" si="87"/>
        <v/>
      </c>
      <c r="V229" s="615"/>
    </row>
    <row r="230" spans="1:22" s="355" customFormat="1" ht="11.1" customHeight="1" x14ac:dyDescent="0.2">
      <c r="A230" s="404"/>
      <c r="B230" s="350" t="str">
        <f t="shared" si="82"/>
        <v/>
      </c>
      <c r="C230" s="350" t="str">
        <f t="shared" si="87"/>
        <v/>
      </c>
      <c r="D230" s="350" t="str">
        <f t="shared" si="87"/>
        <v/>
      </c>
      <c r="E230" s="350" t="str">
        <f t="shared" si="87"/>
        <v/>
      </c>
      <c r="F230" s="350" t="str">
        <f t="shared" si="87"/>
        <v/>
      </c>
      <c r="G230" s="350" t="str">
        <f t="shared" si="87"/>
        <v/>
      </c>
      <c r="H230" s="350" t="str">
        <f t="shared" si="87"/>
        <v/>
      </c>
      <c r="I230" s="350" t="str">
        <f t="shared" si="87"/>
        <v/>
      </c>
      <c r="J230" s="350" t="str">
        <f t="shared" si="87"/>
        <v/>
      </c>
      <c r="K230" s="350" t="str">
        <f t="shared" si="87"/>
        <v/>
      </c>
      <c r="L230" s="350" t="str">
        <f t="shared" si="87"/>
        <v/>
      </c>
      <c r="M230" s="350" t="str">
        <f t="shared" si="87"/>
        <v/>
      </c>
      <c r="N230" s="350" t="str">
        <f t="shared" si="87"/>
        <v/>
      </c>
      <c r="O230" s="350" t="str">
        <f t="shared" si="87"/>
        <v/>
      </c>
      <c r="P230" s="350" t="str">
        <f t="shared" si="87"/>
        <v/>
      </c>
      <c r="Q230" s="350" t="str">
        <f t="shared" si="87"/>
        <v/>
      </c>
      <c r="R230" s="350" t="str">
        <f t="shared" si="87"/>
        <v/>
      </c>
      <c r="S230" s="350" t="str">
        <f t="shared" si="87"/>
        <v/>
      </c>
      <c r="T230" s="350" t="str">
        <f t="shared" si="87"/>
        <v/>
      </c>
      <c r="U230" s="350" t="str">
        <f t="shared" si="87"/>
        <v/>
      </c>
      <c r="V230" s="615"/>
    </row>
    <row r="231" spans="1:22" s="355" customFormat="1" ht="11.1" customHeight="1" x14ac:dyDescent="0.2">
      <c r="A231" s="403" t="s">
        <v>44</v>
      </c>
      <c r="B231" s="348">
        <f t="shared" si="82"/>
        <v>0.8</v>
      </c>
      <c r="C231" s="348">
        <f t="shared" si="87"/>
        <v>1.05</v>
      </c>
      <c r="D231" s="348">
        <f t="shared" si="87"/>
        <v>2.2000000000000002</v>
      </c>
      <c r="E231" s="348">
        <f t="shared" si="87"/>
        <v>4</v>
      </c>
      <c r="F231" s="348">
        <f t="shared" si="87"/>
        <v>5</v>
      </c>
      <c r="G231" s="348">
        <f t="shared" si="87"/>
        <v>6</v>
      </c>
      <c r="H231" s="348">
        <f t="shared" si="87"/>
        <v>7</v>
      </c>
      <c r="I231" s="348">
        <f t="shared" si="87"/>
        <v>8.1</v>
      </c>
      <c r="J231" s="348">
        <f t="shared" si="87"/>
        <v>9.4</v>
      </c>
      <c r="K231" s="348">
        <f t="shared" si="87"/>
        <v>10.9</v>
      </c>
      <c r="L231" s="348">
        <f t="shared" si="87"/>
        <v>12.5</v>
      </c>
      <c r="M231" s="348" t="str">
        <f t="shared" si="87"/>
        <v/>
      </c>
      <c r="N231" s="348" t="str">
        <f t="shared" si="87"/>
        <v/>
      </c>
      <c r="O231" s="348" t="str">
        <f t="shared" si="87"/>
        <v/>
      </c>
      <c r="P231" s="348" t="str">
        <f t="shared" si="87"/>
        <v/>
      </c>
      <c r="Q231" s="348" t="str">
        <f t="shared" si="87"/>
        <v/>
      </c>
      <c r="R231" s="348" t="str">
        <f t="shared" si="87"/>
        <v/>
      </c>
      <c r="S231" s="348" t="str">
        <f t="shared" si="87"/>
        <v/>
      </c>
      <c r="T231" s="348" t="str">
        <f t="shared" si="87"/>
        <v/>
      </c>
      <c r="U231" s="348" t="str">
        <f t="shared" si="87"/>
        <v/>
      </c>
      <c r="V231" s="615"/>
    </row>
    <row r="232" spans="1:22" s="355" customFormat="1" ht="11.1" customHeight="1" x14ac:dyDescent="0.2">
      <c r="A232" s="404"/>
      <c r="B232" s="350" t="str">
        <f t="shared" si="82"/>
        <v/>
      </c>
      <c r="C232" s="350" t="str">
        <f t="shared" si="87"/>
        <v/>
      </c>
      <c r="D232" s="350" t="str">
        <f t="shared" si="87"/>
        <v/>
      </c>
      <c r="E232" s="350" t="str">
        <f t="shared" si="87"/>
        <v/>
      </c>
      <c r="F232" s="350" t="str">
        <f t="shared" si="87"/>
        <v/>
      </c>
      <c r="G232" s="350" t="str">
        <f t="shared" si="87"/>
        <v/>
      </c>
      <c r="H232" s="350" t="str">
        <f t="shared" si="87"/>
        <v/>
      </c>
      <c r="I232" s="350" t="str">
        <f t="shared" si="87"/>
        <v/>
      </c>
      <c r="J232" s="350" t="str">
        <f t="shared" si="87"/>
        <v/>
      </c>
      <c r="K232" s="350" t="str">
        <f t="shared" si="87"/>
        <v/>
      </c>
      <c r="L232" s="350" t="str">
        <f t="shared" si="87"/>
        <v/>
      </c>
      <c r="M232" s="350" t="str">
        <f t="shared" si="87"/>
        <v/>
      </c>
      <c r="N232" s="350" t="str">
        <f t="shared" si="87"/>
        <v/>
      </c>
      <c r="O232" s="350" t="str">
        <f t="shared" si="87"/>
        <v/>
      </c>
      <c r="P232" s="350" t="str">
        <f t="shared" si="87"/>
        <v/>
      </c>
      <c r="Q232" s="350" t="str">
        <f t="shared" si="87"/>
        <v/>
      </c>
      <c r="R232" s="350" t="str">
        <f t="shared" si="87"/>
        <v/>
      </c>
      <c r="S232" s="350" t="str">
        <f t="shared" si="87"/>
        <v/>
      </c>
      <c r="T232" s="350" t="str">
        <f t="shared" si="87"/>
        <v/>
      </c>
      <c r="U232" s="350" t="str">
        <f t="shared" si="87"/>
        <v/>
      </c>
      <c r="V232" s="615"/>
    </row>
    <row r="233" spans="1:22" s="355" customFormat="1" ht="11.1" hidden="1" customHeight="1" x14ac:dyDescent="0.2">
      <c r="A233" s="354" t="s">
        <v>437</v>
      </c>
      <c r="B233" s="357">
        <f t="shared" si="82"/>
        <v>0</v>
      </c>
      <c r="C233" s="357">
        <f t="shared" si="87"/>
        <v>0</v>
      </c>
      <c r="D233" s="357">
        <f t="shared" si="87"/>
        <v>0</v>
      </c>
      <c r="E233" s="357">
        <f t="shared" si="87"/>
        <v>0</v>
      </c>
      <c r="F233" s="357">
        <f t="shared" si="87"/>
        <v>0</v>
      </c>
      <c r="G233" s="357">
        <f t="shared" si="87"/>
        <v>0</v>
      </c>
      <c r="H233" s="357">
        <f t="shared" si="87"/>
        <v>0</v>
      </c>
      <c r="I233" s="357">
        <f t="shared" si="87"/>
        <v>0</v>
      </c>
      <c r="J233" s="357">
        <f t="shared" si="87"/>
        <v>0</v>
      </c>
      <c r="K233" s="357">
        <f t="shared" si="87"/>
        <v>0</v>
      </c>
      <c r="L233" s="357">
        <f t="shared" si="87"/>
        <v>0</v>
      </c>
      <c r="M233" s="357">
        <f t="shared" si="87"/>
        <v>0</v>
      </c>
      <c r="N233" s="357">
        <f t="shared" si="87"/>
        <v>0</v>
      </c>
      <c r="O233" s="357">
        <f t="shared" si="87"/>
        <v>0</v>
      </c>
      <c r="P233" s="357">
        <f t="shared" si="87"/>
        <v>0</v>
      </c>
      <c r="Q233" s="357">
        <f t="shared" si="87"/>
        <v>0</v>
      </c>
      <c r="R233" s="357">
        <f t="shared" si="87"/>
        <v>0</v>
      </c>
      <c r="S233" s="357">
        <f t="shared" si="87"/>
        <v>0</v>
      </c>
      <c r="T233" s="357">
        <f t="shared" si="87"/>
        <v>0</v>
      </c>
      <c r="U233" s="357">
        <f t="shared" si="87"/>
        <v>0</v>
      </c>
      <c r="V233" s="615"/>
    </row>
    <row r="234" spans="1:22" s="355" customFormat="1" ht="11.1" hidden="1" customHeight="1" x14ac:dyDescent="0.2">
      <c r="A234" s="356"/>
      <c r="B234" s="349" t="str">
        <f t="shared" si="82"/>
        <v/>
      </c>
      <c r="C234" s="349" t="str">
        <f t="shared" si="87"/>
        <v/>
      </c>
      <c r="D234" s="349" t="str">
        <f t="shared" si="87"/>
        <v/>
      </c>
      <c r="E234" s="349" t="str">
        <f t="shared" si="87"/>
        <v/>
      </c>
      <c r="F234" s="349" t="str">
        <f t="shared" si="87"/>
        <v/>
      </c>
      <c r="G234" s="349" t="str">
        <f t="shared" si="87"/>
        <v/>
      </c>
      <c r="H234" s="349" t="str">
        <f t="shared" si="87"/>
        <v/>
      </c>
      <c r="I234" s="349" t="str">
        <f t="shared" si="87"/>
        <v/>
      </c>
      <c r="J234" s="349" t="str">
        <f t="shared" si="87"/>
        <v/>
      </c>
      <c r="K234" s="349" t="str">
        <f t="shared" si="87"/>
        <v/>
      </c>
      <c r="L234" s="349" t="str">
        <f t="shared" si="87"/>
        <v/>
      </c>
      <c r="M234" s="349" t="str">
        <f t="shared" si="87"/>
        <v/>
      </c>
      <c r="N234" s="349" t="str">
        <f t="shared" si="87"/>
        <v/>
      </c>
      <c r="O234" s="349" t="str">
        <f t="shared" si="87"/>
        <v/>
      </c>
      <c r="P234" s="349" t="str">
        <f t="shared" si="87"/>
        <v/>
      </c>
      <c r="Q234" s="349" t="str">
        <f t="shared" si="87"/>
        <v/>
      </c>
      <c r="R234" s="349" t="str">
        <f t="shared" si="87"/>
        <v/>
      </c>
      <c r="S234" s="349" t="str">
        <f t="shared" si="87"/>
        <v/>
      </c>
      <c r="T234" s="349" t="str">
        <f t="shared" si="87"/>
        <v/>
      </c>
      <c r="U234" s="349" t="str">
        <f t="shared" si="87"/>
        <v/>
      </c>
      <c r="V234" s="615"/>
    </row>
    <row r="235" spans="1:22" s="355" customFormat="1" ht="11.1" hidden="1" customHeight="1" x14ac:dyDescent="0.2">
      <c r="A235" s="354" t="s">
        <v>486</v>
      </c>
      <c r="B235" s="349">
        <f t="shared" si="82"/>
        <v>0</v>
      </c>
      <c r="C235" s="349">
        <f t="shared" si="87"/>
        <v>0</v>
      </c>
      <c r="D235" s="349">
        <f t="shared" si="87"/>
        <v>0</v>
      </c>
      <c r="E235" s="349">
        <f t="shared" si="87"/>
        <v>0</v>
      </c>
      <c r="F235" s="349">
        <f t="shared" si="87"/>
        <v>0</v>
      </c>
      <c r="G235" s="349">
        <f t="shared" si="87"/>
        <v>0</v>
      </c>
      <c r="H235" s="349">
        <f t="shared" si="87"/>
        <v>0</v>
      </c>
      <c r="I235" s="349">
        <f t="shared" si="87"/>
        <v>0</v>
      </c>
      <c r="J235" s="349">
        <f t="shared" si="87"/>
        <v>0</v>
      </c>
      <c r="K235" s="349">
        <f t="shared" si="87"/>
        <v>0</v>
      </c>
      <c r="L235" s="349">
        <f t="shared" si="87"/>
        <v>0</v>
      </c>
      <c r="M235" s="349">
        <f t="shared" si="87"/>
        <v>0</v>
      </c>
      <c r="N235" s="349">
        <f t="shared" si="87"/>
        <v>0</v>
      </c>
      <c r="O235" s="349">
        <f t="shared" si="87"/>
        <v>0</v>
      </c>
      <c r="P235" s="349">
        <f t="shared" si="87"/>
        <v>0</v>
      </c>
      <c r="Q235" s="349">
        <f t="shared" si="87"/>
        <v>0</v>
      </c>
      <c r="R235" s="349">
        <f t="shared" si="87"/>
        <v>0</v>
      </c>
      <c r="S235" s="349">
        <f t="shared" si="87"/>
        <v>0</v>
      </c>
      <c r="T235" s="349">
        <f t="shared" si="87"/>
        <v>0</v>
      </c>
      <c r="U235" s="349">
        <f t="shared" si="87"/>
        <v>0</v>
      </c>
      <c r="V235" s="615"/>
    </row>
    <row r="236" spans="1:22" s="355" customFormat="1" ht="11.1" hidden="1" customHeight="1" x14ac:dyDescent="0.2">
      <c r="A236" s="356"/>
      <c r="B236" s="349" t="str">
        <f t="shared" si="82"/>
        <v/>
      </c>
      <c r="C236" s="349" t="str">
        <f t="shared" si="87"/>
        <v/>
      </c>
      <c r="D236" s="349" t="str">
        <f t="shared" si="87"/>
        <v/>
      </c>
      <c r="E236" s="349" t="str">
        <f t="shared" si="87"/>
        <v/>
      </c>
      <c r="F236" s="349" t="str">
        <f t="shared" si="87"/>
        <v/>
      </c>
      <c r="G236" s="349" t="str">
        <f t="shared" si="87"/>
        <v/>
      </c>
      <c r="H236" s="349" t="str">
        <f t="shared" si="87"/>
        <v/>
      </c>
      <c r="I236" s="349" t="str">
        <f t="shared" si="87"/>
        <v/>
      </c>
      <c r="J236" s="349" t="str">
        <f t="shared" si="87"/>
        <v/>
      </c>
      <c r="K236" s="349" t="str">
        <f t="shared" si="87"/>
        <v/>
      </c>
      <c r="L236" s="349" t="str">
        <f t="shared" si="87"/>
        <v/>
      </c>
      <c r="M236" s="349" t="str">
        <f t="shared" si="87"/>
        <v/>
      </c>
      <c r="N236" s="349" t="str">
        <f t="shared" si="87"/>
        <v/>
      </c>
      <c r="O236" s="349" t="str">
        <f t="shared" si="87"/>
        <v/>
      </c>
      <c r="P236" s="349" t="str">
        <f t="shared" si="87"/>
        <v/>
      </c>
      <c r="Q236" s="349" t="str">
        <f t="shared" si="87"/>
        <v/>
      </c>
      <c r="R236" s="349" t="str">
        <f t="shared" si="87"/>
        <v/>
      </c>
      <c r="S236" s="349" t="str">
        <f t="shared" si="87"/>
        <v/>
      </c>
      <c r="T236" s="349" t="str">
        <f t="shared" si="87"/>
        <v/>
      </c>
      <c r="U236" s="349" t="str">
        <f t="shared" si="87"/>
        <v/>
      </c>
      <c r="V236" s="615"/>
    </row>
    <row r="237" spans="1:22" s="355" customFormat="1" ht="11.1" hidden="1" customHeight="1" x14ac:dyDescent="0.2">
      <c r="A237" s="354" t="s">
        <v>53</v>
      </c>
      <c r="B237" s="349" t="str">
        <f t="shared" si="82"/>
        <v/>
      </c>
      <c r="C237" s="349" t="str">
        <f t="shared" si="87"/>
        <v/>
      </c>
      <c r="D237" s="349" t="str">
        <f t="shared" si="87"/>
        <v/>
      </c>
      <c r="E237" s="349" t="str">
        <f t="shared" si="87"/>
        <v/>
      </c>
      <c r="F237" s="349">
        <f t="shared" si="87"/>
        <v>8.5399999999999991</v>
      </c>
      <c r="G237" s="349">
        <f t="shared" si="87"/>
        <v>13.93</v>
      </c>
      <c r="H237" s="349">
        <f t="shared" si="87"/>
        <v>18.25</v>
      </c>
      <c r="I237" s="349">
        <f t="shared" si="87"/>
        <v>19.399999999999999</v>
      </c>
      <c r="J237" s="349">
        <f t="shared" si="87"/>
        <v>21.5</v>
      </c>
      <c r="K237" s="349">
        <f t="shared" si="87"/>
        <v>23.3</v>
      </c>
      <c r="L237" s="349">
        <f t="shared" si="87"/>
        <v>25</v>
      </c>
      <c r="M237" s="349" t="str">
        <f t="shared" si="87"/>
        <v/>
      </c>
      <c r="N237" s="349" t="str">
        <f t="shared" si="87"/>
        <v/>
      </c>
      <c r="O237" s="349" t="str">
        <f t="shared" si="87"/>
        <v/>
      </c>
      <c r="P237" s="349" t="str">
        <f t="shared" si="87"/>
        <v/>
      </c>
      <c r="Q237" s="349" t="str">
        <f t="shared" si="87"/>
        <v/>
      </c>
      <c r="R237" s="349" t="str">
        <f t="shared" si="87"/>
        <v/>
      </c>
      <c r="S237" s="349" t="str">
        <f t="shared" si="87"/>
        <v/>
      </c>
      <c r="T237" s="349" t="str">
        <f t="shared" si="87"/>
        <v/>
      </c>
      <c r="U237" s="349" t="str">
        <f t="shared" si="87"/>
        <v/>
      </c>
      <c r="V237" s="615"/>
    </row>
    <row r="238" spans="1:22" s="355" customFormat="1" ht="11.1" hidden="1" customHeight="1" x14ac:dyDescent="0.2">
      <c r="A238" s="356"/>
      <c r="B238" s="349" t="str">
        <f t="shared" si="82"/>
        <v/>
      </c>
      <c r="C238" s="349" t="str">
        <f t="shared" si="87"/>
        <v/>
      </c>
      <c r="D238" s="349" t="str">
        <f t="shared" si="87"/>
        <v/>
      </c>
      <c r="E238" s="349" t="str">
        <f t="shared" si="87"/>
        <v/>
      </c>
      <c r="F238" s="349" t="str">
        <f t="shared" si="87"/>
        <v/>
      </c>
      <c r="G238" s="349" t="str">
        <f t="shared" si="87"/>
        <v/>
      </c>
      <c r="H238" s="349" t="str">
        <f t="shared" si="87"/>
        <v/>
      </c>
      <c r="I238" s="349" t="str">
        <f t="shared" si="87"/>
        <v/>
      </c>
      <c r="J238" s="349" t="str">
        <f t="shared" si="87"/>
        <v/>
      </c>
      <c r="K238" s="349" t="str">
        <f t="shared" si="87"/>
        <v/>
      </c>
      <c r="L238" s="349" t="str">
        <f t="shared" si="87"/>
        <v/>
      </c>
      <c r="M238" s="349" t="str">
        <f t="shared" si="87"/>
        <v/>
      </c>
      <c r="N238" s="349" t="str">
        <f t="shared" si="87"/>
        <v/>
      </c>
      <c r="O238" s="349" t="str">
        <f t="shared" si="87"/>
        <v/>
      </c>
      <c r="P238" s="349" t="str">
        <f t="shared" si="87"/>
        <v/>
      </c>
      <c r="Q238" s="349" t="str">
        <f t="shared" si="87"/>
        <v/>
      </c>
      <c r="R238" s="349" t="str">
        <f t="shared" si="87"/>
        <v/>
      </c>
      <c r="S238" s="349" t="str">
        <f t="shared" si="87"/>
        <v/>
      </c>
      <c r="T238" s="349" t="str">
        <f t="shared" si="87"/>
        <v/>
      </c>
      <c r="U238" s="349" t="str">
        <f t="shared" si="87"/>
        <v/>
      </c>
      <c r="V238" s="615"/>
    </row>
    <row r="239" spans="1:22" s="355" customFormat="1" ht="11.1" hidden="1" customHeight="1" x14ac:dyDescent="0.2">
      <c r="A239" s="354" t="s">
        <v>54</v>
      </c>
      <c r="B239" s="349" t="str">
        <f t="shared" si="82"/>
        <v/>
      </c>
      <c r="C239" s="349" t="str">
        <f t="shared" si="87"/>
        <v/>
      </c>
      <c r="D239" s="349" t="str">
        <f t="shared" si="87"/>
        <v/>
      </c>
      <c r="E239" s="349" t="str">
        <f t="shared" si="87"/>
        <v/>
      </c>
      <c r="F239" s="349">
        <f t="shared" si="87"/>
        <v>0.75</v>
      </c>
      <c r="G239" s="349">
        <f t="shared" si="87"/>
        <v>1.41</v>
      </c>
      <c r="H239" s="349">
        <f t="shared" si="87"/>
        <v>1.67</v>
      </c>
      <c r="I239" s="349">
        <f t="shared" si="87"/>
        <v>1.8</v>
      </c>
      <c r="J239" s="349">
        <f t="shared" si="87"/>
        <v>1.93</v>
      </c>
      <c r="K239" s="349">
        <f t="shared" si="87"/>
        <v>2.06</v>
      </c>
      <c r="L239" s="349">
        <f t="shared" si="87"/>
        <v>2.19</v>
      </c>
      <c r="M239" s="349" t="str">
        <f t="shared" si="87"/>
        <v/>
      </c>
      <c r="N239" s="349" t="str">
        <f t="shared" si="87"/>
        <v/>
      </c>
      <c r="O239" s="349" t="str">
        <f t="shared" si="87"/>
        <v/>
      </c>
      <c r="P239" s="349" t="str">
        <f t="shared" si="87"/>
        <v/>
      </c>
      <c r="Q239" s="349" t="str">
        <f t="shared" si="87"/>
        <v/>
      </c>
      <c r="R239" s="349" t="str">
        <f t="shared" si="87"/>
        <v/>
      </c>
      <c r="S239" s="349" t="str">
        <f t="shared" si="87"/>
        <v/>
      </c>
      <c r="T239" s="349" t="str">
        <f t="shared" si="87"/>
        <v/>
      </c>
      <c r="U239" s="349" t="str">
        <f t="shared" si="87"/>
        <v/>
      </c>
      <c r="V239" s="615"/>
    </row>
    <row r="240" spans="1:22" s="355" customFormat="1" ht="11.1" hidden="1" customHeight="1" x14ac:dyDescent="0.2">
      <c r="A240" s="356"/>
      <c r="B240" s="349" t="str">
        <f t="shared" si="82"/>
        <v/>
      </c>
      <c r="C240" s="349" t="str">
        <f t="shared" si="87"/>
        <v/>
      </c>
      <c r="D240" s="349" t="str">
        <f t="shared" si="87"/>
        <v/>
      </c>
      <c r="E240" s="349" t="str">
        <f t="shared" si="87"/>
        <v/>
      </c>
      <c r="F240" s="349" t="str">
        <f t="shared" si="87"/>
        <v/>
      </c>
      <c r="G240" s="349" t="str">
        <f t="shared" si="87"/>
        <v/>
      </c>
      <c r="H240" s="349" t="str">
        <f t="shared" si="87"/>
        <v/>
      </c>
      <c r="I240" s="349" t="str">
        <f t="shared" si="87"/>
        <v/>
      </c>
      <c r="J240" s="349" t="str">
        <f t="shared" si="87"/>
        <v/>
      </c>
      <c r="K240" s="349" t="str">
        <f t="shared" si="87"/>
        <v/>
      </c>
      <c r="L240" s="349" t="str">
        <f t="shared" si="87"/>
        <v/>
      </c>
      <c r="M240" s="349" t="str">
        <f t="shared" si="87"/>
        <v/>
      </c>
      <c r="N240" s="349" t="str">
        <f t="shared" si="87"/>
        <v/>
      </c>
      <c r="O240" s="349" t="str">
        <f t="shared" si="87"/>
        <v/>
      </c>
      <c r="P240" s="349" t="str">
        <f t="shared" si="87"/>
        <v/>
      </c>
      <c r="Q240" s="349" t="str">
        <f t="shared" si="87"/>
        <v/>
      </c>
      <c r="R240" s="349" t="str">
        <f t="shared" si="87"/>
        <v/>
      </c>
      <c r="S240" s="349" t="str">
        <f t="shared" si="87"/>
        <v/>
      </c>
      <c r="T240" s="349" t="str">
        <f t="shared" si="87"/>
        <v/>
      </c>
      <c r="U240" s="349" t="str">
        <f t="shared" si="87"/>
        <v/>
      </c>
      <c r="V240" s="615"/>
    </row>
    <row r="241" spans="1:22" s="355" customFormat="1" ht="11.1" hidden="1" customHeight="1" x14ac:dyDescent="0.2">
      <c r="A241" s="354" t="s">
        <v>55</v>
      </c>
      <c r="B241" s="349" t="str">
        <f t="shared" si="82"/>
        <v/>
      </c>
      <c r="C241" s="349" t="str">
        <f t="shared" si="87"/>
        <v/>
      </c>
      <c r="D241" s="349" t="str">
        <f t="shared" si="87"/>
        <v/>
      </c>
      <c r="E241" s="349" t="str">
        <f t="shared" si="87"/>
        <v/>
      </c>
      <c r="F241" s="349">
        <f t="shared" si="87"/>
        <v>3</v>
      </c>
      <c r="G241" s="349">
        <f t="shared" si="87"/>
        <v>5.66</v>
      </c>
      <c r="H241" s="349">
        <f t="shared" si="87"/>
        <v>6.68</v>
      </c>
      <c r="I241" s="349">
        <f t="shared" si="87"/>
        <v>7.2</v>
      </c>
      <c r="J241" s="349">
        <f t="shared" si="87"/>
        <v>7.71</v>
      </c>
      <c r="K241" s="349">
        <f t="shared" si="87"/>
        <v>8.23</v>
      </c>
      <c r="L241" s="349">
        <f t="shared" si="87"/>
        <v>8.74</v>
      </c>
      <c r="M241" s="349" t="str">
        <f t="shared" si="87"/>
        <v/>
      </c>
      <c r="N241" s="349" t="str">
        <f t="shared" si="87"/>
        <v/>
      </c>
      <c r="O241" s="349" t="str">
        <f t="shared" si="87"/>
        <v/>
      </c>
      <c r="P241" s="349" t="str">
        <f t="shared" si="87"/>
        <v/>
      </c>
      <c r="Q241" s="349" t="str">
        <f t="shared" si="87"/>
        <v/>
      </c>
      <c r="R241" s="349" t="str">
        <f t="shared" si="87"/>
        <v/>
      </c>
      <c r="S241" s="349" t="str">
        <f t="shared" si="87"/>
        <v/>
      </c>
      <c r="T241" s="349" t="str">
        <f t="shared" si="87"/>
        <v/>
      </c>
      <c r="U241" s="349" t="str">
        <f t="shared" si="87"/>
        <v/>
      </c>
      <c r="V241" s="615"/>
    </row>
    <row r="242" spans="1:22" s="355" customFormat="1" ht="11.1" hidden="1" customHeight="1" x14ac:dyDescent="0.2">
      <c r="A242" s="356"/>
      <c r="B242" s="349" t="str">
        <f t="shared" si="82"/>
        <v/>
      </c>
      <c r="C242" s="349" t="str">
        <f t="shared" si="87"/>
        <v/>
      </c>
      <c r="D242" s="349" t="str">
        <f t="shared" si="87"/>
        <v/>
      </c>
      <c r="E242" s="349" t="str">
        <f t="shared" si="87"/>
        <v/>
      </c>
      <c r="F242" s="349" t="str">
        <f t="shared" si="87"/>
        <v/>
      </c>
      <c r="G242" s="349" t="str">
        <f t="shared" si="87"/>
        <v/>
      </c>
      <c r="H242" s="349" t="str">
        <f t="shared" si="87"/>
        <v/>
      </c>
      <c r="I242" s="349" t="str">
        <f t="shared" si="87"/>
        <v/>
      </c>
      <c r="J242" s="349" t="str">
        <f t="shared" si="87"/>
        <v/>
      </c>
      <c r="K242" s="349" t="str">
        <f t="shared" ref="C242:U255" si="88">K20</f>
        <v/>
      </c>
      <c r="L242" s="349" t="str">
        <f t="shared" si="88"/>
        <v/>
      </c>
      <c r="M242" s="349" t="str">
        <f t="shared" si="88"/>
        <v/>
      </c>
      <c r="N242" s="349" t="str">
        <f t="shared" si="88"/>
        <v/>
      </c>
      <c r="O242" s="349" t="str">
        <f t="shared" si="88"/>
        <v/>
      </c>
      <c r="P242" s="349" t="str">
        <f t="shared" si="88"/>
        <v/>
      </c>
      <c r="Q242" s="349" t="str">
        <f t="shared" si="88"/>
        <v/>
      </c>
      <c r="R242" s="349" t="str">
        <f t="shared" si="88"/>
        <v/>
      </c>
      <c r="S242" s="349" t="str">
        <f t="shared" si="88"/>
        <v/>
      </c>
      <c r="T242" s="349" t="str">
        <f t="shared" si="88"/>
        <v/>
      </c>
      <c r="U242" s="349" t="str">
        <f t="shared" si="88"/>
        <v/>
      </c>
      <c r="V242" s="615"/>
    </row>
    <row r="243" spans="1:22" s="355" customFormat="1" ht="11.1" hidden="1" customHeight="1" x14ac:dyDescent="0.2">
      <c r="A243" s="354" t="s">
        <v>57</v>
      </c>
      <c r="B243" s="349">
        <f t="shared" si="82"/>
        <v>0.67</v>
      </c>
      <c r="C243" s="349">
        <f t="shared" si="88"/>
        <v>0.9</v>
      </c>
      <c r="D243" s="349">
        <f t="shared" si="88"/>
        <v>1.75</v>
      </c>
      <c r="E243" s="349">
        <f t="shared" si="88"/>
        <v>3.2</v>
      </c>
      <c r="F243" s="349">
        <f t="shared" si="88"/>
        <v>6.41</v>
      </c>
      <c r="G243" s="349">
        <f t="shared" si="88"/>
        <v>8.5200000000000014</v>
      </c>
      <c r="H243" s="349">
        <f t="shared" si="88"/>
        <v>9.75</v>
      </c>
      <c r="I243" s="349">
        <f t="shared" si="88"/>
        <v>10.850000000000001</v>
      </c>
      <c r="J243" s="349">
        <f t="shared" si="88"/>
        <v>12.120000000000001</v>
      </c>
      <c r="K243" s="349">
        <f t="shared" si="88"/>
        <v>13.59</v>
      </c>
      <c r="L243" s="349">
        <f t="shared" si="88"/>
        <v>15.15</v>
      </c>
      <c r="M243" s="349" t="str">
        <f t="shared" si="88"/>
        <v/>
      </c>
      <c r="N243" s="349" t="str">
        <f t="shared" si="88"/>
        <v/>
      </c>
      <c r="O243" s="349" t="str">
        <f t="shared" si="88"/>
        <v/>
      </c>
      <c r="P243" s="349" t="str">
        <f t="shared" si="88"/>
        <v/>
      </c>
      <c r="Q243" s="349" t="str">
        <f t="shared" si="88"/>
        <v/>
      </c>
      <c r="R243" s="349" t="str">
        <f t="shared" si="88"/>
        <v/>
      </c>
      <c r="S243" s="349" t="str">
        <f t="shared" si="88"/>
        <v/>
      </c>
      <c r="T243" s="349" t="str">
        <f t="shared" si="88"/>
        <v/>
      </c>
      <c r="U243" s="349" t="str">
        <f t="shared" si="88"/>
        <v/>
      </c>
      <c r="V243" s="615"/>
    </row>
    <row r="244" spans="1:22" s="355" customFormat="1" ht="11.1" hidden="1" customHeight="1" x14ac:dyDescent="0.2">
      <c r="A244" s="356"/>
      <c r="B244" s="349" t="str">
        <f t="shared" si="82"/>
        <v/>
      </c>
      <c r="C244" s="349" t="str">
        <f t="shared" si="88"/>
        <v/>
      </c>
      <c r="D244" s="349" t="str">
        <f t="shared" si="88"/>
        <v/>
      </c>
      <c r="E244" s="349" t="str">
        <f t="shared" si="88"/>
        <v/>
      </c>
      <c r="F244" s="349" t="str">
        <f t="shared" si="88"/>
        <v/>
      </c>
      <c r="G244" s="349" t="str">
        <f t="shared" si="88"/>
        <v/>
      </c>
      <c r="H244" s="349" t="str">
        <f t="shared" si="88"/>
        <v/>
      </c>
      <c r="I244" s="349" t="str">
        <f t="shared" si="88"/>
        <v/>
      </c>
      <c r="J244" s="349" t="str">
        <f t="shared" si="88"/>
        <v/>
      </c>
      <c r="K244" s="349" t="str">
        <f t="shared" si="88"/>
        <v/>
      </c>
      <c r="L244" s="349" t="str">
        <f t="shared" si="88"/>
        <v/>
      </c>
      <c r="M244" s="349" t="str">
        <f t="shared" si="88"/>
        <v/>
      </c>
      <c r="N244" s="349" t="str">
        <f t="shared" si="88"/>
        <v/>
      </c>
      <c r="O244" s="349" t="str">
        <f t="shared" si="88"/>
        <v/>
      </c>
      <c r="P244" s="349" t="str">
        <f t="shared" si="88"/>
        <v/>
      </c>
      <c r="Q244" s="349" t="str">
        <f t="shared" si="88"/>
        <v/>
      </c>
      <c r="R244" s="349" t="str">
        <f t="shared" si="88"/>
        <v/>
      </c>
      <c r="S244" s="349" t="str">
        <f t="shared" si="88"/>
        <v/>
      </c>
      <c r="T244" s="349" t="str">
        <f t="shared" si="88"/>
        <v/>
      </c>
      <c r="U244" s="349" t="str">
        <f t="shared" si="88"/>
        <v/>
      </c>
      <c r="V244" s="615"/>
    </row>
    <row r="245" spans="1:22" s="355" customFormat="1" ht="11.1" hidden="1" customHeight="1" x14ac:dyDescent="0.2">
      <c r="A245" s="354" t="s">
        <v>329</v>
      </c>
      <c r="B245" s="349" t="str">
        <f t="shared" si="82"/>
        <v/>
      </c>
      <c r="C245" s="349" t="str">
        <f t="shared" si="88"/>
        <v/>
      </c>
      <c r="D245" s="349">
        <f t="shared" si="88"/>
        <v>0.05</v>
      </c>
      <c r="E245" s="349">
        <f t="shared" si="88"/>
        <v>0.47</v>
      </c>
      <c r="F245" s="349">
        <f t="shared" si="88"/>
        <v>0.91</v>
      </c>
      <c r="G245" s="349">
        <f t="shared" si="88"/>
        <v>1.1492750000000003</v>
      </c>
      <c r="H245" s="349">
        <f t="shared" si="88"/>
        <v>0.96513000000000082</v>
      </c>
      <c r="I245" s="349">
        <f t="shared" si="88"/>
        <v>0.83753250000000101</v>
      </c>
      <c r="J245" s="349">
        <f t="shared" si="88"/>
        <v>0.681315000000001</v>
      </c>
      <c r="K245" s="349">
        <f t="shared" si="88"/>
        <v>0.50085000000000091</v>
      </c>
      <c r="L245" s="349">
        <f t="shared" si="88"/>
        <v>0.28818750000000093</v>
      </c>
      <c r="M245" s="349" t="str">
        <f t="shared" si="88"/>
        <v/>
      </c>
      <c r="N245" s="349" t="str">
        <f t="shared" si="88"/>
        <v/>
      </c>
      <c r="O245" s="349" t="str">
        <f t="shared" si="88"/>
        <v/>
      </c>
      <c r="P245" s="349" t="str">
        <f t="shared" si="88"/>
        <v/>
      </c>
      <c r="Q245" s="349" t="str">
        <f t="shared" si="88"/>
        <v/>
      </c>
      <c r="R245" s="349" t="str">
        <f t="shared" si="88"/>
        <v/>
      </c>
      <c r="S245" s="349" t="str">
        <f t="shared" si="88"/>
        <v/>
      </c>
      <c r="T245" s="349" t="str">
        <f t="shared" si="88"/>
        <v/>
      </c>
      <c r="U245" s="349" t="str">
        <f t="shared" si="88"/>
        <v/>
      </c>
      <c r="V245" s="615"/>
    </row>
    <row r="246" spans="1:22" s="355" customFormat="1" ht="11.1" hidden="1" customHeight="1" x14ac:dyDescent="0.2">
      <c r="A246" s="356"/>
      <c r="B246" s="349" t="str">
        <f t="shared" si="82"/>
        <v/>
      </c>
      <c r="C246" s="349" t="str">
        <f t="shared" si="88"/>
        <v/>
      </c>
      <c r="D246" s="349" t="str">
        <f t="shared" si="88"/>
        <v/>
      </c>
      <c r="E246" s="349" t="str">
        <f t="shared" si="88"/>
        <v/>
      </c>
      <c r="F246" s="349" t="str">
        <f t="shared" si="88"/>
        <v/>
      </c>
      <c r="G246" s="349" t="str">
        <f t="shared" si="88"/>
        <v/>
      </c>
      <c r="H246" s="349" t="str">
        <f t="shared" si="88"/>
        <v/>
      </c>
      <c r="I246" s="349" t="str">
        <f t="shared" si="88"/>
        <v/>
      </c>
      <c r="J246" s="349" t="str">
        <f t="shared" si="88"/>
        <v/>
      </c>
      <c r="K246" s="349" t="str">
        <f t="shared" si="88"/>
        <v/>
      </c>
      <c r="L246" s="349" t="str">
        <f t="shared" si="88"/>
        <v/>
      </c>
      <c r="M246" s="349" t="str">
        <f t="shared" si="88"/>
        <v/>
      </c>
      <c r="N246" s="349" t="str">
        <f t="shared" si="88"/>
        <v/>
      </c>
      <c r="O246" s="349" t="str">
        <f t="shared" si="88"/>
        <v/>
      </c>
      <c r="P246" s="349" t="str">
        <f t="shared" si="88"/>
        <v/>
      </c>
      <c r="Q246" s="349" t="str">
        <f t="shared" si="88"/>
        <v/>
      </c>
      <c r="R246" s="349" t="str">
        <f t="shared" si="88"/>
        <v/>
      </c>
      <c r="S246" s="349" t="str">
        <f t="shared" si="88"/>
        <v/>
      </c>
      <c r="T246" s="349" t="str">
        <f t="shared" si="88"/>
        <v/>
      </c>
      <c r="U246" s="349" t="str">
        <f t="shared" si="88"/>
        <v/>
      </c>
      <c r="V246" s="615"/>
    </row>
    <row r="247" spans="1:22" s="355" customFormat="1" ht="11.1" customHeight="1" x14ac:dyDescent="0.2">
      <c r="A247" s="403" t="s">
        <v>56</v>
      </c>
      <c r="B247" s="348">
        <f t="shared" si="82"/>
        <v>9.9999999999999978E-2</v>
      </c>
      <c r="C247" s="348">
        <f t="shared" si="88"/>
        <v>0.13</v>
      </c>
      <c r="D247" s="348">
        <f t="shared" si="88"/>
        <v>0.38000000000000017</v>
      </c>
      <c r="E247" s="348">
        <f t="shared" si="88"/>
        <v>0.30999999999999983</v>
      </c>
      <c r="F247" s="348">
        <f t="shared" si="88"/>
        <v>0.8200000000000004</v>
      </c>
      <c r="G247" s="348">
        <f t="shared" si="88"/>
        <v>1.7307250000000023</v>
      </c>
      <c r="H247" s="348">
        <f t="shared" si="88"/>
        <v>2.3448700000000016</v>
      </c>
      <c r="I247" s="348">
        <f t="shared" si="88"/>
        <v>2.6224675</v>
      </c>
      <c r="J247" s="348">
        <f t="shared" si="88"/>
        <v>2.8786849999999942</v>
      </c>
      <c r="K247" s="348">
        <f t="shared" si="88"/>
        <v>3.169150000000001</v>
      </c>
      <c r="L247" s="348">
        <f t="shared" si="88"/>
        <v>3.6418124999999986</v>
      </c>
      <c r="M247" s="348" t="str">
        <f t="shared" si="88"/>
        <v/>
      </c>
      <c r="N247" s="348" t="str">
        <f t="shared" si="88"/>
        <v/>
      </c>
      <c r="O247" s="348" t="str">
        <f t="shared" si="88"/>
        <v/>
      </c>
      <c r="P247" s="348" t="str">
        <f t="shared" si="88"/>
        <v/>
      </c>
      <c r="Q247" s="348" t="str">
        <f t="shared" si="88"/>
        <v/>
      </c>
      <c r="R247" s="348" t="str">
        <f t="shared" si="88"/>
        <v/>
      </c>
      <c r="S247" s="348" t="str">
        <f t="shared" si="88"/>
        <v/>
      </c>
      <c r="T247" s="348" t="str">
        <f t="shared" si="88"/>
        <v/>
      </c>
      <c r="U247" s="348" t="str">
        <f t="shared" si="88"/>
        <v/>
      </c>
      <c r="V247" s="615"/>
    </row>
    <row r="248" spans="1:22" s="355" customFormat="1" ht="11.1" customHeight="1" x14ac:dyDescent="0.2">
      <c r="A248" s="404"/>
      <c r="B248" s="350" t="str">
        <f t="shared" si="82"/>
        <v/>
      </c>
      <c r="C248" s="350" t="str">
        <f t="shared" si="88"/>
        <v/>
      </c>
      <c r="D248" s="350" t="str">
        <f t="shared" si="88"/>
        <v/>
      </c>
      <c r="E248" s="350" t="str">
        <f t="shared" si="88"/>
        <v/>
      </c>
      <c r="F248" s="350" t="str">
        <f t="shared" si="88"/>
        <v/>
      </c>
      <c r="G248" s="350" t="str">
        <f t="shared" si="88"/>
        <v/>
      </c>
      <c r="H248" s="350" t="str">
        <f t="shared" si="88"/>
        <v/>
      </c>
      <c r="I248" s="350" t="str">
        <f t="shared" si="88"/>
        <v/>
      </c>
      <c r="J248" s="350" t="str">
        <f t="shared" si="88"/>
        <v/>
      </c>
      <c r="K248" s="350" t="str">
        <f t="shared" si="88"/>
        <v/>
      </c>
      <c r="L248" s="350" t="str">
        <f t="shared" si="88"/>
        <v/>
      </c>
      <c r="M248" s="350" t="str">
        <f t="shared" si="88"/>
        <v/>
      </c>
      <c r="N248" s="350" t="str">
        <f t="shared" si="88"/>
        <v/>
      </c>
      <c r="O248" s="350" t="str">
        <f t="shared" si="88"/>
        <v/>
      </c>
      <c r="P248" s="350" t="str">
        <f t="shared" si="88"/>
        <v/>
      </c>
      <c r="Q248" s="350" t="str">
        <f t="shared" si="88"/>
        <v/>
      </c>
      <c r="R248" s="350" t="str">
        <f t="shared" si="88"/>
        <v/>
      </c>
      <c r="S248" s="350" t="str">
        <f t="shared" si="88"/>
        <v/>
      </c>
      <c r="T248" s="350" t="str">
        <f t="shared" si="88"/>
        <v/>
      </c>
      <c r="U248" s="350" t="str">
        <f t="shared" si="88"/>
        <v/>
      </c>
      <c r="V248" s="615"/>
    </row>
    <row r="249" spans="1:22" s="355" customFormat="1" ht="11.1" hidden="1" customHeight="1" x14ac:dyDescent="0.2">
      <c r="A249" s="354" t="s">
        <v>896</v>
      </c>
      <c r="B249" s="357">
        <f t="shared" si="82"/>
        <v>0.28000000000000003</v>
      </c>
      <c r="C249" s="357">
        <f t="shared" si="88"/>
        <v>0.44000000000000006</v>
      </c>
      <c r="D249" s="357">
        <f t="shared" si="88"/>
        <v>4.8499999999999996</v>
      </c>
      <c r="E249" s="357">
        <f t="shared" si="88"/>
        <v>15.25</v>
      </c>
      <c r="F249" s="357">
        <f t="shared" si="88"/>
        <v>26.81</v>
      </c>
      <c r="G249" s="357">
        <f t="shared" si="88"/>
        <v>27.494913125</v>
      </c>
      <c r="H249" s="357">
        <f t="shared" si="88"/>
        <v>27.863095749999999</v>
      </c>
      <c r="I249" s="357">
        <f t="shared" si="88"/>
        <v>27.445555187500002</v>
      </c>
      <c r="J249" s="357">
        <f t="shared" si="88"/>
        <v>27.123204125000001</v>
      </c>
      <c r="K249" s="357">
        <f t="shared" si="88"/>
        <v>26.783058750000002</v>
      </c>
      <c r="L249" s="357">
        <f t="shared" si="88"/>
        <v>26.239407812500005</v>
      </c>
      <c r="M249" s="357" t="str">
        <f t="shared" si="88"/>
        <v/>
      </c>
      <c r="N249" s="357" t="str">
        <f t="shared" si="88"/>
        <v/>
      </c>
      <c r="O249" s="357" t="str">
        <f t="shared" si="88"/>
        <v/>
      </c>
      <c r="P249" s="357" t="str">
        <f t="shared" si="88"/>
        <v/>
      </c>
      <c r="Q249" s="357" t="str">
        <f t="shared" si="88"/>
        <v/>
      </c>
      <c r="R249" s="357" t="str">
        <f t="shared" si="88"/>
        <v/>
      </c>
      <c r="S249" s="357" t="str">
        <f t="shared" si="88"/>
        <v/>
      </c>
      <c r="T249" s="357" t="str">
        <f t="shared" si="88"/>
        <v/>
      </c>
      <c r="U249" s="357" t="str">
        <f t="shared" si="88"/>
        <v/>
      </c>
      <c r="V249" s="615"/>
    </row>
    <row r="250" spans="1:22" s="361" customFormat="1" ht="11.1" hidden="1" customHeight="1" x14ac:dyDescent="0.2">
      <c r="A250" s="362"/>
      <c r="B250" s="349" t="str">
        <f t="shared" si="82"/>
        <v/>
      </c>
      <c r="C250" s="349" t="str">
        <f t="shared" si="88"/>
        <v/>
      </c>
      <c r="D250" s="349" t="str">
        <f t="shared" si="88"/>
        <v/>
      </c>
      <c r="E250" s="349" t="str">
        <f t="shared" si="88"/>
        <v/>
      </c>
      <c r="F250" s="349" t="str">
        <f t="shared" si="88"/>
        <v/>
      </c>
      <c r="G250" s="349" t="str">
        <f t="shared" si="88"/>
        <v/>
      </c>
      <c r="H250" s="349" t="str">
        <f t="shared" si="88"/>
        <v/>
      </c>
      <c r="I250" s="349" t="str">
        <f t="shared" si="88"/>
        <v/>
      </c>
      <c r="J250" s="349" t="str">
        <f t="shared" si="88"/>
        <v/>
      </c>
      <c r="K250" s="349" t="str">
        <f t="shared" si="88"/>
        <v/>
      </c>
      <c r="L250" s="349" t="str">
        <f t="shared" si="88"/>
        <v/>
      </c>
      <c r="M250" s="349" t="str">
        <f t="shared" si="88"/>
        <v/>
      </c>
      <c r="N250" s="349" t="str">
        <f t="shared" si="88"/>
        <v/>
      </c>
      <c r="O250" s="349" t="str">
        <f t="shared" si="88"/>
        <v/>
      </c>
      <c r="P250" s="349" t="str">
        <f t="shared" si="88"/>
        <v/>
      </c>
      <c r="Q250" s="349" t="str">
        <f t="shared" si="88"/>
        <v/>
      </c>
      <c r="R250" s="349" t="str">
        <f t="shared" si="88"/>
        <v/>
      </c>
      <c r="S250" s="349" t="str">
        <f t="shared" si="88"/>
        <v/>
      </c>
      <c r="T250" s="349" t="str">
        <f t="shared" si="88"/>
        <v/>
      </c>
      <c r="U250" s="349" t="str">
        <f t="shared" si="88"/>
        <v/>
      </c>
      <c r="V250" s="616"/>
    </row>
    <row r="251" spans="1:22" s="355" customFormat="1" ht="11.1" hidden="1" customHeight="1" x14ac:dyDescent="0.2">
      <c r="A251" s="354" t="s">
        <v>418</v>
      </c>
      <c r="B251" s="349">
        <f t="shared" si="82"/>
        <v>0.21000000000000002</v>
      </c>
      <c r="C251" s="349">
        <f t="shared" si="88"/>
        <v>0.37000000000000005</v>
      </c>
      <c r="D251" s="349">
        <f t="shared" si="88"/>
        <v>0.69</v>
      </c>
      <c r="E251" s="349">
        <f t="shared" si="88"/>
        <v>1.0699999999999998</v>
      </c>
      <c r="F251" s="349">
        <f t="shared" si="88"/>
        <v>6.3599999999999994</v>
      </c>
      <c r="G251" s="349">
        <f t="shared" si="88"/>
        <v>9.5449131250000008</v>
      </c>
      <c r="H251" s="349">
        <f t="shared" si="88"/>
        <v>12.09309575</v>
      </c>
      <c r="I251" s="349">
        <f t="shared" si="88"/>
        <v>13.575555187500001</v>
      </c>
      <c r="J251" s="349">
        <f t="shared" si="88"/>
        <v>14.913204124999998</v>
      </c>
      <c r="K251" s="349">
        <f t="shared" si="88"/>
        <v>16.003058750000001</v>
      </c>
      <c r="L251" s="349">
        <f t="shared" si="88"/>
        <v>16.699407812500002</v>
      </c>
      <c r="M251" s="349" t="str">
        <f t="shared" si="88"/>
        <v/>
      </c>
      <c r="N251" s="349" t="str">
        <f t="shared" si="88"/>
        <v/>
      </c>
      <c r="O251" s="349" t="str">
        <f t="shared" si="88"/>
        <v/>
      </c>
      <c r="P251" s="349" t="str">
        <f t="shared" si="88"/>
        <v/>
      </c>
      <c r="Q251" s="349" t="str">
        <f t="shared" si="88"/>
        <v/>
      </c>
      <c r="R251" s="349" t="str">
        <f t="shared" si="88"/>
        <v/>
      </c>
      <c r="S251" s="349" t="str">
        <f t="shared" si="88"/>
        <v/>
      </c>
      <c r="T251" s="349" t="str">
        <f t="shared" si="88"/>
        <v/>
      </c>
      <c r="U251" s="349" t="str">
        <f t="shared" si="88"/>
        <v/>
      </c>
      <c r="V251" s="615"/>
    </row>
    <row r="252" spans="1:22" s="355" customFormat="1" ht="11.1" hidden="1" customHeight="1" x14ac:dyDescent="0.2">
      <c r="A252" s="356"/>
      <c r="B252" s="349" t="str">
        <f t="shared" si="82"/>
        <v/>
      </c>
      <c r="C252" s="349" t="str">
        <f t="shared" si="88"/>
        <v/>
      </c>
      <c r="D252" s="349" t="str">
        <f t="shared" si="88"/>
        <v/>
      </c>
      <c r="E252" s="349" t="str">
        <f t="shared" si="88"/>
        <v/>
      </c>
      <c r="F252" s="349" t="str">
        <f t="shared" si="88"/>
        <v/>
      </c>
      <c r="G252" s="349" t="str">
        <f t="shared" si="88"/>
        <v/>
      </c>
      <c r="H252" s="349" t="str">
        <f t="shared" si="88"/>
        <v/>
      </c>
      <c r="I252" s="349" t="str">
        <f t="shared" si="88"/>
        <v/>
      </c>
      <c r="J252" s="349" t="str">
        <f t="shared" si="88"/>
        <v/>
      </c>
      <c r="K252" s="349" t="str">
        <f t="shared" si="88"/>
        <v/>
      </c>
      <c r="L252" s="349" t="str">
        <f t="shared" si="88"/>
        <v/>
      </c>
      <c r="M252" s="349" t="str">
        <f t="shared" si="88"/>
        <v/>
      </c>
      <c r="N252" s="349" t="str">
        <f t="shared" si="88"/>
        <v/>
      </c>
      <c r="O252" s="349" t="str">
        <f t="shared" si="88"/>
        <v/>
      </c>
      <c r="P252" s="349" t="str">
        <f t="shared" si="88"/>
        <v/>
      </c>
      <c r="Q252" s="349" t="str">
        <f t="shared" si="88"/>
        <v/>
      </c>
      <c r="R252" s="349" t="str">
        <f t="shared" si="88"/>
        <v/>
      </c>
      <c r="S252" s="349" t="str">
        <f t="shared" si="88"/>
        <v/>
      </c>
      <c r="T252" s="349" t="str">
        <f t="shared" si="88"/>
        <v/>
      </c>
      <c r="U252" s="349" t="str">
        <f t="shared" si="88"/>
        <v/>
      </c>
      <c r="V252" s="615"/>
    </row>
    <row r="253" spans="1:22" s="355" customFormat="1" ht="11.1" customHeight="1" x14ac:dyDescent="0.2">
      <c r="A253" s="403" t="s">
        <v>897</v>
      </c>
      <c r="B253" s="348">
        <f t="shared" si="82"/>
        <v>0.2</v>
      </c>
      <c r="C253" s="348">
        <f t="shared" si="88"/>
        <v>0.27</v>
      </c>
      <c r="D253" s="348">
        <f t="shared" si="88"/>
        <v>4.41</v>
      </c>
      <c r="E253" s="348">
        <f t="shared" si="88"/>
        <v>6.6029999999999998</v>
      </c>
      <c r="F253" s="348">
        <f t="shared" si="88"/>
        <v>15.48</v>
      </c>
      <c r="G253" s="348">
        <f t="shared" si="88"/>
        <v>14.973217500000004</v>
      </c>
      <c r="H253" s="348">
        <f t="shared" si="88"/>
        <v>13.707461000000013</v>
      </c>
      <c r="I253" s="348">
        <f t="shared" si="88"/>
        <v>11.470740250000009</v>
      </c>
      <c r="J253" s="348">
        <f t="shared" si="88"/>
        <v>9.1476055000000116</v>
      </c>
      <c r="K253" s="348">
        <f t="shared" si="88"/>
        <v>6.5907450000000107</v>
      </c>
      <c r="L253" s="348">
        <f t="shared" si="88"/>
        <v>3.4925437499999994</v>
      </c>
      <c r="M253" s="348" t="str">
        <f t="shared" si="88"/>
        <v/>
      </c>
      <c r="N253" s="348" t="str">
        <f t="shared" si="88"/>
        <v/>
      </c>
      <c r="O253" s="348" t="str">
        <f t="shared" si="88"/>
        <v/>
      </c>
      <c r="P253" s="348" t="str">
        <f t="shared" si="88"/>
        <v/>
      </c>
      <c r="Q253" s="348" t="str">
        <f t="shared" si="88"/>
        <v/>
      </c>
      <c r="R253" s="348" t="str">
        <f t="shared" si="88"/>
        <v/>
      </c>
      <c r="S253" s="348" t="str">
        <f t="shared" si="88"/>
        <v/>
      </c>
      <c r="T253" s="348" t="str">
        <f t="shared" si="88"/>
        <v/>
      </c>
      <c r="U253" s="348" t="str">
        <f t="shared" si="88"/>
        <v/>
      </c>
      <c r="V253" s="615"/>
    </row>
    <row r="254" spans="1:22" s="361" customFormat="1" ht="11.1" customHeight="1" x14ac:dyDescent="0.2">
      <c r="A254" s="366"/>
      <c r="B254" s="350" t="str">
        <f t="shared" si="82"/>
        <v/>
      </c>
      <c r="C254" s="350" t="str">
        <f t="shared" si="88"/>
        <v/>
      </c>
      <c r="D254" s="350" t="str">
        <f t="shared" si="88"/>
        <v/>
      </c>
      <c r="E254" s="350" t="str">
        <f t="shared" si="88"/>
        <v/>
      </c>
      <c r="F254" s="350" t="str">
        <f t="shared" si="88"/>
        <v/>
      </c>
      <c r="G254" s="350" t="str">
        <f t="shared" si="88"/>
        <v/>
      </c>
      <c r="H254" s="350" t="str">
        <f t="shared" si="88"/>
        <v/>
      </c>
      <c r="I254" s="350" t="str">
        <f t="shared" si="88"/>
        <v/>
      </c>
      <c r="J254" s="350" t="str">
        <f t="shared" si="88"/>
        <v/>
      </c>
      <c r="K254" s="350" t="str">
        <f t="shared" si="88"/>
        <v/>
      </c>
      <c r="L254" s="350" t="str">
        <f t="shared" si="88"/>
        <v/>
      </c>
      <c r="M254" s="350" t="str">
        <f t="shared" si="88"/>
        <v/>
      </c>
      <c r="N254" s="350" t="str">
        <f t="shared" si="88"/>
        <v/>
      </c>
      <c r="O254" s="350" t="str">
        <f t="shared" si="88"/>
        <v/>
      </c>
      <c r="P254" s="350" t="str">
        <f t="shared" si="88"/>
        <v/>
      </c>
      <c r="Q254" s="350" t="str">
        <f t="shared" si="88"/>
        <v/>
      </c>
      <c r="R254" s="350" t="str">
        <f t="shared" si="88"/>
        <v/>
      </c>
      <c r="S254" s="350" t="str">
        <f t="shared" si="88"/>
        <v/>
      </c>
      <c r="T254" s="350" t="str">
        <f t="shared" si="88"/>
        <v/>
      </c>
      <c r="U254" s="350" t="str">
        <f t="shared" si="88"/>
        <v/>
      </c>
      <c r="V254" s="616"/>
    </row>
    <row r="255" spans="1:22" s="355" customFormat="1" ht="11.1" customHeight="1" x14ac:dyDescent="0.2">
      <c r="A255" s="403" t="s">
        <v>35</v>
      </c>
      <c r="B255" s="348">
        <f t="shared" si="82"/>
        <v>6.9999999999999979E-2</v>
      </c>
      <c r="C255" s="348">
        <f t="shared" si="88"/>
        <v>0.09</v>
      </c>
      <c r="D255" s="348">
        <f t="shared" si="88"/>
        <v>0.27000000000000018</v>
      </c>
      <c r="E255" s="348">
        <f t="shared" si="88"/>
        <v>0.21699999999999989</v>
      </c>
      <c r="F255" s="348">
        <f t="shared" si="88"/>
        <v>0.56000000000000028</v>
      </c>
      <c r="G255" s="348">
        <f t="shared" si="88"/>
        <v>1.1975075000000017</v>
      </c>
      <c r="H255" s="348">
        <f t="shared" si="88"/>
        <v>1.627409000000001</v>
      </c>
      <c r="I255" s="348">
        <f t="shared" si="88"/>
        <v>1.8217272499999999</v>
      </c>
      <c r="J255" s="348">
        <f t="shared" si="88"/>
        <v>2.0010794999999959</v>
      </c>
      <c r="K255" s="348">
        <f t="shared" si="88"/>
        <v>2.2184050000000006</v>
      </c>
      <c r="L255" s="348">
        <f t="shared" si="88"/>
        <v>2.5492687499999991</v>
      </c>
      <c r="M255" s="348" t="str">
        <f t="shared" si="88"/>
        <v/>
      </c>
      <c r="N255" s="348" t="str">
        <f t="shared" si="88"/>
        <v/>
      </c>
      <c r="O255" s="348" t="str">
        <f t="shared" si="88"/>
        <v/>
      </c>
      <c r="P255" s="348" t="str">
        <f t="shared" si="88"/>
        <v/>
      </c>
      <c r="Q255" s="348" t="str">
        <f t="shared" si="88"/>
        <v/>
      </c>
      <c r="R255" s="348" t="str">
        <f t="shared" si="88"/>
        <v/>
      </c>
      <c r="S255" s="348" t="str">
        <f t="shared" ref="C255:U269" si="89">S33</f>
        <v/>
      </c>
      <c r="T255" s="348" t="str">
        <f t="shared" si="89"/>
        <v/>
      </c>
      <c r="U255" s="348" t="str">
        <f t="shared" si="89"/>
        <v/>
      </c>
      <c r="V255" s="615"/>
    </row>
    <row r="256" spans="1:22" s="355" customFormat="1" ht="11.1" customHeight="1" x14ac:dyDescent="0.2">
      <c r="A256" s="404"/>
      <c r="B256" s="350" t="str">
        <f t="shared" si="82"/>
        <v/>
      </c>
      <c r="C256" s="350" t="str">
        <f t="shared" si="89"/>
        <v/>
      </c>
      <c r="D256" s="350" t="str">
        <f t="shared" si="89"/>
        <v/>
      </c>
      <c r="E256" s="350" t="str">
        <f t="shared" si="89"/>
        <v/>
      </c>
      <c r="F256" s="350" t="str">
        <f t="shared" si="89"/>
        <v/>
      </c>
      <c r="G256" s="350" t="str">
        <f t="shared" si="89"/>
        <v/>
      </c>
      <c r="H256" s="350" t="str">
        <f t="shared" si="89"/>
        <v/>
      </c>
      <c r="I256" s="350" t="str">
        <f t="shared" si="89"/>
        <v/>
      </c>
      <c r="J256" s="350" t="str">
        <f t="shared" si="89"/>
        <v/>
      </c>
      <c r="K256" s="350" t="str">
        <f t="shared" si="89"/>
        <v/>
      </c>
      <c r="L256" s="350" t="str">
        <f t="shared" si="89"/>
        <v/>
      </c>
      <c r="M256" s="350" t="str">
        <f t="shared" si="89"/>
        <v/>
      </c>
      <c r="N256" s="350" t="str">
        <f t="shared" si="89"/>
        <v/>
      </c>
      <c r="O256" s="350" t="str">
        <f t="shared" si="89"/>
        <v/>
      </c>
      <c r="P256" s="350" t="str">
        <f t="shared" si="89"/>
        <v/>
      </c>
      <c r="Q256" s="350" t="str">
        <f t="shared" si="89"/>
        <v/>
      </c>
      <c r="R256" s="350" t="str">
        <f t="shared" si="89"/>
        <v/>
      </c>
      <c r="S256" s="350" t="str">
        <f t="shared" si="89"/>
        <v/>
      </c>
      <c r="T256" s="350" t="str">
        <f t="shared" si="89"/>
        <v/>
      </c>
      <c r="U256" s="350" t="str">
        <f t="shared" si="89"/>
        <v/>
      </c>
      <c r="V256" s="615"/>
    </row>
    <row r="257" spans="1:22" s="361" customFormat="1" ht="11.1" customHeight="1" x14ac:dyDescent="0.2">
      <c r="A257" s="413" t="s">
        <v>898</v>
      </c>
      <c r="B257" s="408">
        <f t="shared" ref="B257:B288" si="90">B35</f>
        <v>8.7499999999999967E-2</v>
      </c>
      <c r="C257" s="408">
        <f t="shared" si="89"/>
        <v>8.5714285714285701E-2</v>
      </c>
      <c r="D257" s="408">
        <f t="shared" si="89"/>
        <v>0.1227272727272728</v>
      </c>
      <c r="E257" s="408">
        <f t="shared" si="89"/>
        <v>5.4249999999999972E-2</v>
      </c>
      <c r="F257" s="408">
        <f t="shared" si="89"/>
        <v>2.8000000000000014E-2</v>
      </c>
      <c r="G257" s="408">
        <f t="shared" si="89"/>
        <v>3.4933124270711838E-2</v>
      </c>
      <c r="H257" s="408">
        <f t="shared" si="89"/>
        <v>4.0262469074715514E-2</v>
      </c>
      <c r="I257" s="408">
        <f t="shared" si="89"/>
        <v>4.1318377183034695E-2</v>
      </c>
      <c r="J257" s="408">
        <f t="shared" si="89"/>
        <v>4.1723926188490322E-2</v>
      </c>
      <c r="K257" s="408">
        <f t="shared" si="89"/>
        <v>4.2637036325197011E-2</v>
      </c>
      <c r="L257" s="408">
        <f t="shared" si="89"/>
        <v>4.536065391459073E-2</v>
      </c>
      <c r="M257" s="408" t="str">
        <f t="shared" si="89"/>
        <v/>
      </c>
      <c r="N257" s="408" t="str">
        <f t="shared" si="89"/>
        <v/>
      </c>
      <c r="O257" s="408" t="str">
        <f t="shared" si="89"/>
        <v/>
      </c>
      <c r="P257" s="408" t="str">
        <f t="shared" si="89"/>
        <v/>
      </c>
      <c r="Q257" s="408" t="str">
        <f t="shared" si="89"/>
        <v/>
      </c>
      <c r="R257" s="408" t="str">
        <f t="shared" si="89"/>
        <v/>
      </c>
      <c r="S257" s="408" t="str">
        <f t="shared" si="89"/>
        <v/>
      </c>
      <c r="T257" s="408" t="str">
        <f t="shared" si="89"/>
        <v/>
      </c>
      <c r="U257" s="408" t="str">
        <f t="shared" si="89"/>
        <v/>
      </c>
      <c r="V257" s="616"/>
    </row>
    <row r="258" spans="1:22" s="355" customFormat="1" ht="11.1" customHeight="1" x14ac:dyDescent="0.2">
      <c r="A258" s="404"/>
      <c r="B258" s="350" t="str">
        <f t="shared" si="90"/>
        <v/>
      </c>
      <c r="C258" s="350" t="str">
        <f t="shared" si="89"/>
        <v/>
      </c>
      <c r="D258" s="350" t="str">
        <f t="shared" si="89"/>
        <v/>
      </c>
      <c r="E258" s="350" t="str">
        <f t="shared" si="89"/>
        <v/>
      </c>
      <c r="F258" s="350" t="str">
        <f t="shared" si="89"/>
        <v/>
      </c>
      <c r="G258" s="350" t="str">
        <f t="shared" si="89"/>
        <v/>
      </c>
      <c r="H258" s="350" t="str">
        <f t="shared" si="89"/>
        <v/>
      </c>
      <c r="I258" s="350" t="str">
        <f t="shared" si="89"/>
        <v/>
      </c>
      <c r="J258" s="350" t="str">
        <f t="shared" si="89"/>
        <v/>
      </c>
      <c r="K258" s="350" t="str">
        <f t="shared" si="89"/>
        <v/>
      </c>
      <c r="L258" s="350" t="str">
        <f t="shared" si="89"/>
        <v/>
      </c>
      <c r="M258" s="350" t="str">
        <f t="shared" si="89"/>
        <v/>
      </c>
      <c r="N258" s="350" t="str">
        <f t="shared" si="89"/>
        <v/>
      </c>
      <c r="O258" s="350" t="str">
        <f t="shared" si="89"/>
        <v/>
      </c>
      <c r="P258" s="350" t="str">
        <f t="shared" si="89"/>
        <v/>
      </c>
      <c r="Q258" s="350" t="str">
        <f t="shared" si="89"/>
        <v/>
      </c>
      <c r="R258" s="350" t="str">
        <f t="shared" si="89"/>
        <v/>
      </c>
      <c r="S258" s="350" t="str">
        <f t="shared" si="89"/>
        <v/>
      </c>
      <c r="T258" s="350" t="str">
        <f t="shared" si="89"/>
        <v/>
      </c>
      <c r="U258" s="350" t="str">
        <f t="shared" si="89"/>
        <v/>
      </c>
      <c r="V258" s="615"/>
    </row>
    <row r="259" spans="1:22" s="355" customFormat="1" ht="11.1" hidden="1" customHeight="1" x14ac:dyDescent="0.2">
      <c r="A259" s="354" t="s">
        <v>899</v>
      </c>
      <c r="B259" s="357">
        <f t="shared" si="90"/>
        <v>6.9999999999999979E-2</v>
      </c>
      <c r="C259" s="357">
        <f t="shared" si="89"/>
        <v>0.09</v>
      </c>
      <c r="D259" s="357">
        <f t="shared" si="89"/>
        <v>0.27000000000000018</v>
      </c>
      <c r="E259" s="357">
        <f t="shared" si="89"/>
        <v>0.21699999999999989</v>
      </c>
      <c r="F259" s="357">
        <f t="shared" si="89"/>
        <v>0.56000000000000028</v>
      </c>
      <c r="G259" s="357">
        <f t="shared" si="89"/>
        <v>1.1975075000000017</v>
      </c>
      <c r="H259" s="357">
        <f t="shared" si="89"/>
        <v>1.627409000000001</v>
      </c>
      <c r="I259" s="357">
        <f t="shared" si="89"/>
        <v>1.8217272499999999</v>
      </c>
      <c r="J259" s="357">
        <f t="shared" si="89"/>
        <v>2.0010794999999959</v>
      </c>
      <c r="K259" s="357">
        <f t="shared" si="89"/>
        <v>2.2184050000000006</v>
      </c>
      <c r="L259" s="357">
        <f t="shared" si="89"/>
        <v>2.5492687499999991</v>
      </c>
      <c r="M259" s="357" t="str">
        <f t="shared" si="89"/>
        <v/>
      </c>
      <c r="N259" s="357" t="str">
        <f t="shared" si="89"/>
        <v/>
      </c>
      <c r="O259" s="357" t="str">
        <f t="shared" si="89"/>
        <v/>
      </c>
      <c r="P259" s="357" t="str">
        <f t="shared" si="89"/>
        <v/>
      </c>
      <c r="Q259" s="357" t="str">
        <f t="shared" si="89"/>
        <v/>
      </c>
      <c r="R259" s="357" t="str">
        <f t="shared" si="89"/>
        <v/>
      </c>
      <c r="S259" s="357" t="str">
        <f t="shared" si="89"/>
        <v/>
      </c>
      <c r="T259" s="357" t="str">
        <f t="shared" si="89"/>
        <v/>
      </c>
      <c r="U259" s="357" t="str">
        <f t="shared" si="89"/>
        <v/>
      </c>
      <c r="V259" s="615"/>
    </row>
    <row r="260" spans="1:22" s="355" customFormat="1" ht="11.1" hidden="1" customHeight="1" x14ac:dyDescent="0.2">
      <c r="A260" s="356"/>
      <c r="B260" s="349" t="str">
        <f t="shared" si="90"/>
        <v/>
      </c>
      <c r="C260" s="349" t="str">
        <f t="shared" si="89"/>
        <v/>
      </c>
      <c r="D260" s="349" t="str">
        <f t="shared" si="89"/>
        <v/>
      </c>
      <c r="E260" s="349" t="str">
        <f t="shared" si="89"/>
        <v/>
      </c>
      <c r="F260" s="349" t="str">
        <f t="shared" si="89"/>
        <v/>
      </c>
      <c r="G260" s="349" t="str">
        <f t="shared" si="89"/>
        <v/>
      </c>
      <c r="H260" s="349" t="str">
        <f t="shared" si="89"/>
        <v/>
      </c>
      <c r="I260" s="349" t="str">
        <f t="shared" si="89"/>
        <v/>
      </c>
      <c r="J260" s="349" t="str">
        <f t="shared" si="89"/>
        <v/>
      </c>
      <c r="K260" s="349" t="str">
        <f t="shared" si="89"/>
        <v/>
      </c>
      <c r="L260" s="349" t="str">
        <f t="shared" si="89"/>
        <v/>
      </c>
      <c r="M260" s="349" t="str">
        <f t="shared" si="89"/>
        <v/>
      </c>
      <c r="N260" s="349" t="str">
        <f t="shared" si="89"/>
        <v/>
      </c>
      <c r="O260" s="349" t="str">
        <f t="shared" si="89"/>
        <v/>
      </c>
      <c r="P260" s="349" t="str">
        <f t="shared" si="89"/>
        <v/>
      </c>
      <c r="Q260" s="349" t="str">
        <f t="shared" si="89"/>
        <v/>
      </c>
      <c r="R260" s="349" t="str">
        <f t="shared" si="89"/>
        <v/>
      </c>
      <c r="S260" s="349" t="str">
        <f t="shared" si="89"/>
        <v/>
      </c>
      <c r="T260" s="349" t="str">
        <f t="shared" si="89"/>
        <v/>
      </c>
      <c r="U260" s="349" t="str">
        <f t="shared" si="89"/>
        <v/>
      </c>
      <c r="V260" s="615"/>
    </row>
    <row r="261" spans="1:22" s="355" customFormat="1" ht="11.1" hidden="1" customHeight="1" x14ac:dyDescent="0.2">
      <c r="A261" s="354" t="s">
        <v>900</v>
      </c>
      <c r="B261" s="349">
        <f t="shared" si="90"/>
        <v>0.24999999999999989</v>
      </c>
      <c r="C261" s="349">
        <f t="shared" si="89"/>
        <v>0.2045454545454545</v>
      </c>
      <c r="D261" s="349">
        <f t="shared" si="89"/>
        <v>5.567010309278355E-2</v>
      </c>
      <c r="E261" s="349">
        <f t="shared" si="89"/>
        <v>1.4229508196721304E-2</v>
      </c>
      <c r="F261" s="349">
        <f t="shared" si="89"/>
        <v>2.0887728459530037E-2</v>
      </c>
      <c r="G261" s="349">
        <f t="shared" si="89"/>
        <v>4.3553783732859196E-2</v>
      </c>
      <c r="H261" s="349">
        <f t="shared" si="89"/>
        <v>5.8407328984612233E-2</v>
      </c>
      <c r="I261" s="349">
        <f t="shared" si="89"/>
        <v>6.6376039309625642E-2</v>
      </c>
      <c r="J261" s="349">
        <f t="shared" si="89"/>
        <v>7.3777400736941723E-2</v>
      </c>
      <c r="K261" s="349">
        <f t="shared" si="89"/>
        <v>8.2828664967178195E-2</v>
      </c>
      <c r="L261" s="349">
        <f t="shared" si="89"/>
        <v>9.7154202877458656E-2</v>
      </c>
      <c r="M261" s="349" t="str">
        <f t="shared" si="89"/>
        <v/>
      </c>
      <c r="N261" s="349" t="str">
        <f t="shared" si="89"/>
        <v/>
      </c>
      <c r="O261" s="349" t="str">
        <f t="shared" si="89"/>
        <v/>
      </c>
      <c r="P261" s="349" t="str">
        <f t="shared" si="89"/>
        <v/>
      </c>
      <c r="Q261" s="349" t="str">
        <f t="shared" si="89"/>
        <v/>
      </c>
      <c r="R261" s="349" t="str">
        <f t="shared" si="89"/>
        <v/>
      </c>
      <c r="S261" s="349" t="str">
        <f t="shared" si="89"/>
        <v/>
      </c>
      <c r="T261" s="349" t="str">
        <f t="shared" si="89"/>
        <v/>
      </c>
      <c r="U261" s="349" t="str">
        <f t="shared" si="89"/>
        <v/>
      </c>
      <c r="V261" s="615"/>
    </row>
    <row r="262" spans="1:22" s="355" customFormat="1" ht="11.1" hidden="1" customHeight="1" x14ac:dyDescent="0.2">
      <c r="A262" s="356"/>
      <c r="B262" s="349" t="str">
        <f t="shared" si="90"/>
        <v/>
      </c>
      <c r="C262" s="349" t="str">
        <f t="shared" si="89"/>
        <v/>
      </c>
      <c r="D262" s="349" t="str">
        <f t="shared" si="89"/>
        <v/>
      </c>
      <c r="E262" s="349" t="str">
        <f t="shared" si="89"/>
        <v/>
      </c>
      <c r="F262" s="349" t="str">
        <f t="shared" si="89"/>
        <v/>
      </c>
      <c r="G262" s="349" t="str">
        <f t="shared" si="89"/>
        <v/>
      </c>
      <c r="H262" s="349" t="str">
        <f t="shared" si="89"/>
        <v/>
      </c>
      <c r="I262" s="349" t="str">
        <f t="shared" si="89"/>
        <v/>
      </c>
      <c r="J262" s="349" t="str">
        <f t="shared" si="89"/>
        <v/>
      </c>
      <c r="K262" s="349" t="str">
        <f t="shared" si="89"/>
        <v/>
      </c>
      <c r="L262" s="349" t="str">
        <f t="shared" si="89"/>
        <v/>
      </c>
      <c r="M262" s="349" t="str">
        <f t="shared" si="89"/>
        <v/>
      </c>
      <c r="N262" s="349" t="str">
        <f t="shared" si="89"/>
        <v/>
      </c>
      <c r="O262" s="349" t="str">
        <f t="shared" si="89"/>
        <v/>
      </c>
      <c r="P262" s="349" t="str">
        <f t="shared" si="89"/>
        <v/>
      </c>
      <c r="Q262" s="349" t="str">
        <f t="shared" si="89"/>
        <v/>
      </c>
      <c r="R262" s="349" t="str">
        <f t="shared" si="89"/>
        <v/>
      </c>
      <c r="S262" s="349" t="str">
        <f t="shared" si="89"/>
        <v/>
      </c>
      <c r="T262" s="349" t="str">
        <f t="shared" si="89"/>
        <v/>
      </c>
      <c r="U262" s="349" t="str">
        <f t="shared" si="89"/>
        <v/>
      </c>
      <c r="V262" s="615"/>
    </row>
    <row r="263" spans="1:22" s="355" customFormat="1" ht="11.1" hidden="1" customHeight="1" x14ac:dyDescent="0.2">
      <c r="A263" s="354" t="s">
        <v>901</v>
      </c>
      <c r="B263" s="349">
        <f t="shared" si="90"/>
        <v>9.9999999999999978E-2</v>
      </c>
      <c r="C263" s="349">
        <f t="shared" si="89"/>
        <v>0.11</v>
      </c>
      <c r="D263" s="349">
        <f t="shared" si="89"/>
        <v>0.2900000000000002</v>
      </c>
      <c r="E263" s="349">
        <f t="shared" si="89"/>
        <v>0.23699999999999988</v>
      </c>
      <c r="F263" s="349">
        <f t="shared" si="89"/>
        <v>2.1300000000000003</v>
      </c>
      <c r="G263" s="349">
        <f t="shared" si="89"/>
        <v>3.6775075000000017</v>
      </c>
      <c r="H263" s="349">
        <f t="shared" si="89"/>
        <v>3.7874090000000011</v>
      </c>
      <c r="I263" s="349">
        <f t="shared" si="89"/>
        <v>3.7017272499999998</v>
      </c>
      <c r="J263" s="349">
        <f t="shared" si="89"/>
        <v>3.6410794999999956</v>
      </c>
      <c r="K263" s="349">
        <f t="shared" si="89"/>
        <v>3.6484050000000003</v>
      </c>
      <c r="L263" s="349">
        <f t="shared" si="89"/>
        <v>3.7892687499999989</v>
      </c>
      <c r="M263" s="349" t="str">
        <f t="shared" si="89"/>
        <v/>
      </c>
      <c r="N263" s="349" t="str">
        <f t="shared" si="89"/>
        <v/>
      </c>
      <c r="O263" s="349" t="str">
        <f t="shared" si="89"/>
        <v/>
      </c>
      <c r="P263" s="349" t="str">
        <f t="shared" si="89"/>
        <v/>
      </c>
      <c r="Q263" s="349" t="str">
        <f t="shared" si="89"/>
        <v/>
      </c>
      <c r="R263" s="349" t="str">
        <f t="shared" si="89"/>
        <v/>
      </c>
      <c r="S263" s="349" t="str">
        <f t="shared" si="89"/>
        <v/>
      </c>
      <c r="T263" s="349" t="str">
        <f t="shared" si="89"/>
        <v/>
      </c>
      <c r="U263" s="349" t="str">
        <f t="shared" si="89"/>
        <v/>
      </c>
      <c r="V263" s="615"/>
    </row>
    <row r="264" spans="1:22" s="355" customFormat="1" ht="11.1" hidden="1" customHeight="1" x14ac:dyDescent="0.2">
      <c r="A264" s="356"/>
      <c r="B264" s="349" t="str">
        <f t="shared" si="90"/>
        <v/>
      </c>
      <c r="C264" s="349" t="str">
        <f t="shared" si="89"/>
        <v/>
      </c>
      <c r="D264" s="349" t="str">
        <f t="shared" si="89"/>
        <v/>
      </c>
      <c r="E264" s="349" t="str">
        <f t="shared" si="89"/>
        <v/>
      </c>
      <c r="F264" s="349" t="str">
        <f t="shared" si="89"/>
        <v/>
      </c>
      <c r="G264" s="349" t="str">
        <f t="shared" si="89"/>
        <v/>
      </c>
      <c r="H264" s="349" t="str">
        <f t="shared" si="89"/>
        <v/>
      </c>
      <c r="I264" s="349" t="str">
        <f t="shared" si="89"/>
        <v/>
      </c>
      <c r="J264" s="349" t="str">
        <f t="shared" si="89"/>
        <v/>
      </c>
      <c r="K264" s="349" t="str">
        <f t="shared" si="89"/>
        <v/>
      </c>
      <c r="L264" s="349" t="str">
        <f t="shared" si="89"/>
        <v/>
      </c>
      <c r="M264" s="349" t="str">
        <f t="shared" si="89"/>
        <v/>
      </c>
      <c r="N264" s="349" t="str">
        <f t="shared" si="89"/>
        <v/>
      </c>
      <c r="O264" s="349" t="str">
        <f t="shared" si="89"/>
        <v/>
      </c>
      <c r="P264" s="349" t="str">
        <f t="shared" si="89"/>
        <v/>
      </c>
      <c r="Q264" s="349" t="str">
        <f t="shared" si="89"/>
        <v/>
      </c>
      <c r="R264" s="349" t="str">
        <f t="shared" si="89"/>
        <v/>
      </c>
      <c r="S264" s="349" t="str">
        <f t="shared" si="89"/>
        <v/>
      </c>
      <c r="T264" s="349" t="str">
        <f t="shared" si="89"/>
        <v/>
      </c>
      <c r="U264" s="349" t="str">
        <f t="shared" si="89"/>
        <v/>
      </c>
      <c r="V264" s="615"/>
    </row>
    <row r="265" spans="1:22" s="355" customFormat="1" ht="11.1" hidden="1" customHeight="1" x14ac:dyDescent="0.2">
      <c r="A265" s="354" t="s">
        <v>902</v>
      </c>
      <c r="B265" s="349">
        <f t="shared" si="90"/>
        <v>0.49999999999999989</v>
      </c>
      <c r="C265" s="349">
        <f t="shared" si="89"/>
        <v>0.40740740740740738</v>
      </c>
      <c r="D265" s="349">
        <f t="shared" si="89"/>
        <v>6.5759637188208667E-2</v>
      </c>
      <c r="E265" s="349">
        <f t="shared" si="89"/>
        <v>3.5892776010904119E-2</v>
      </c>
      <c r="F265" s="349">
        <f t="shared" si="89"/>
        <v>0.13759689922480622</v>
      </c>
      <c r="G265" s="349">
        <f t="shared" si="89"/>
        <v>0.2456056956362252</v>
      </c>
      <c r="H265" s="349">
        <f t="shared" si="89"/>
        <v>0.27630273761129048</v>
      </c>
      <c r="I265" s="349">
        <f t="shared" si="89"/>
        <v>0.32271040659298311</v>
      </c>
      <c r="J265" s="349">
        <f t="shared" si="89"/>
        <v>0.39803634951244793</v>
      </c>
      <c r="K265" s="349">
        <f t="shared" si="89"/>
        <v>0.55356488530507464</v>
      </c>
      <c r="L265" s="349">
        <f t="shared" si="89"/>
        <v>1.0849595656460995</v>
      </c>
      <c r="M265" s="349" t="str">
        <f t="shared" si="89"/>
        <v/>
      </c>
      <c r="N265" s="349" t="str">
        <f t="shared" si="89"/>
        <v/>
      </c>
      <c r="O265" s="349" t="str">
        <f t="shared" si="89"/>
        <v/>
      </c>
      <c r="P265" s="349" t="str">
        <f t="shared" si="89"/>
        <v/>
      </c>
      <c r="Q265" s="349" t="str">
        <f t="shared" si="89"/>
        <v/>
      </c>
      <c r="R265" s="349" t="str">
        <f t="shared" si="89"/>
        <v/>
      </c>
      <c r="S265" s="349" t="str">
        <f t="shared" si="89"/>
        <v/>
      </c>
      <c r="T265" s="349" t="str">
        <f t="shared" si="89"/>
        <v/>
      </c>
      <c r="U265" s="349" t="str">
        <f t="shared" si="89"/>
        <v/>
      </c>
      <c r="V265" s="615"/>
    </row>
    <row r="266" spans="1:22" s="355" customFormat="1" ht="11.1" hidden="1" customHeight="1" x14ac:dyDescent="0.2">
      <c r="A266" s="356"/>
      <c r="B266" s="349" t="str">
        <f t="shared" si="90"/>
        <v/>
      </c>
      <c r="C266" s="349" t="str">
        <f t="shared" si="89"/>
        <v/>
      </c>
      <c r="D266" s="349" t="str">
        <f t="shared" si="89"/>
        <v/>
      </c>
      <c r="E266" s="349" t="str">
        <f t="shared" si="89"/>
        <v/>
      </c>
      <c r="F266" s="349" t="str">
        <f t="shared" si="89"/>
        <v/>
      </c>
      <c r="G266" s="349" t="str">
        <f t="shared" si="89"/>
        <v/>
      </c>
      <c r="H266" s="349" t="str">
        <f t="shared" si="89"/>
        <v/>
      </c>
      <c r="I266" s="349" t="str">
        <f t="shared" si="89"/>
        <v/>
      </c>
      <c r="J266" s="349" t="str">
        <f t="shared" si="89"/>
        <v/>
      </c>
      <c r="K266" s="349" t="str">
        <f t="shared" si="89"/>
        <v/>
      </c>
      <c r="L266" s="349" t="str">
        <f t="shared" si="89"/>
        <v/>
      </c>
      <c r="M266" s="349" t="str">
        <f t="shared" si="89"/>
        <v/>
      </c>
      <c r="N266" s="349" t="str">
        <f t="shared" si="89"/>
        <v/>
      </c>
      <c r="O266" s="349" t="str">
        <f t="shared" si="89"/>
        <v/>
      </c>
      <c r="P266" s="349" t="str">
        <f t="shared" si="89"/>
        <v/>
      </c>
      <c r="Q266" s="349" t="str">
        <f t="shared" si="89"/>
        <v/>
      </c>
      <c r="R266" s="349" t="str">
        <f t="shared" si="89"/>
        <v/>
      </c>
      <c r="S266" s="349" t="str">
        <f t="shared" si="89"/>
        <v/>
      </c>
      <c r="T266" s="349" t="str">
        <f t="shared" si="89"/>
        <v/>
      </c>
      <c r="U266" s="349" t="str">
        <f t="shared" si="89"/>
        <v/>
      </c>
      <c r="V266" s="615"/>
    </row>
    <row r="267" spans="1:22" s="355" customFormat="1" ht="11.1" customHeight="1" x14ac:dyDescent="0.2">
      <c r="A267" s="403" t="s">
        <v>17</v>
      </c>
      <c r="B267" s="348">
        <f t="shared" si="90"/>
        <v>0.12999999999999998</v>
      </c>
      <c r="C267" s="348">
        <f t="shared" si="89"/>
        <v>0.15</v>
      </c>
      <c r="D267" s="348">
        <f t="shared" si="89"/>
        <v>0.45000000000000018</v>
      </c>
      <c r="E267" s="348">
        <f t="shared" si="89"/>
        <v>0.79999999999999982</v>
      </c>
      <c r="F267" s="348">
        <f t="shared" si="89"/>
        <v>3.2800000000000007</v>
      </c>
      <c r="G267" s="348">
        <f t="shared" si="89"/>
        <v>5.3400000000000025</v>
      </c>
      <c r="H267" s="348">
        <f t="shared" si="89"/>
        <v>5.4500000000000028</v>
      </c>
      <c r="I267" s="348">
        <f t="shared" si="89"/>
        <v>5.3200000000000012</v>
      </c>
      <c r="J267" s="348">
        <f t="shared" si="89"/>
        <v>5.1799999999999944</v>
      </c>
      <c r="K267" s="348">
        <f t="shared" si="89"/>
        <v>5.1000000000000014</v>
      </c>
      <c r="L267" s="348">
        <f t="shared" si="89"/>
        <v>5.17</v>
      </c>
      <c r="M267" s="348" t="str">
        <f t="shared" si="89"/>
        <v/>
      </c>
      <c r="N267" s="348" t="str">
        <f t="shared" si="89"/>
        <v/>
      </c>
      <c r="O267" s="348" t="str">
        <f t="shared" si="89"/>
        <v/>
      </c>
      <c r="P267" s="348" t="str">
        <f t="shared" si="89"/>
        <v/>
      </c>
      <c r="Q267" s="348" t="str">
        <f t="shared" si="89"/>
        <v/>
      </c>
      <c r="R267" s="348" t="str">
        <f t="shared" si="89"/>
        <v/>
      </c>
      <c r="S267" s="348" t="str">
        <f t="shared" si="89"/>
        <v/>
      </c>
      <c r="T267" s="348" t="str">
        <f t="shared" si="89"/>
        <v/>
      </c>
      <c r="U267" s="348" t="str">
        <f t="shared" si="89"/>
        <v/>
      </c>
      <c r="V267" s="615"/>
    </row>
    <row r="268" spans="1:22" s="355" customFormat="1" ht="11.1" customHeight="1" x14ac:dyDescent="0.2">
      <c r="A268" s="404"/>
      <c r="B268" s="350" t="str">
        <f t="shared" si="90"/>
        <v/>
      </c>
      <c r="C268" s="350" t="str">
        <f t="shared" si="89"/>
        <v/>
      </c>
      <c r="D268" s="350" t="str">
        <f t="shared" si="89"/>
        <v/>
      </c>
      <c r="E268" s="350" t="str">
        <f t="shared" si="89"/>
        <v/>
      </c>
      <c r="F268" s="350" t="str">
        <f t="shared" si="89"/>
        <v/>
      </c>
      <c r="G268" s="350" t="str">
        <f t="shared" si="89"/>
        <v/>
      </c>
      <c r="H268" s="350" t="str">
        <f t="shared" si="89"/>
        <v/>
      </c>
      <c r="I268" s="350" t="str">
        <f t="shared" si="89"/>
        <v/>
      </c>
      <c r="J268" s="350" t="str">
        <f t="shared" si="89"/>
        <v/>
      </c>
      <c r="K268" s="350" t="str">
        <f t="shared" si="89"/>
        <v/>
      </c>
      <c r="L268" s="350" t="str">
        <f t="shared" si="89"/>
        <v/>
      </c>
      <c r="M268" s="350" t="str">
        <f t="shared" si="89"/>
        <v/>
      </c>
      <c r="N268" s="350" t="str">
        <f t="shared" si="89"/>
        <v/>
      </c>
      <c r="O268" s="350" t="str">
        <f t="shared" si="89"/>
        <v/>
      </c>
      <c r="P268" s="350" t="str">
        <f t="shared" si="89"/>
        <v/>
      </c>
      <c r="Q268" s="350" t="str">
        <f t="shared" si="89"/>
        <v/>
      </c>
      <c r="R268" s="350" t="str">
        <f t="shared" si="89"/>
        <v/>
      </c>
      <c r="S268" s="350" t="str">
        <f t="shared" si="89"/>
        <v/>
      </c>
      <c r="T268" s="350" t="str">
        <f t="shared" si="89"/>
        <v/>
      </c>
      <c r="U268" s="350" t="str">
        <f t="shared" si="89"/>
        <v/>
      </c>
      <c r="V268" s="615"/>
    </row>
    <row r="269" spans="1:22" s="355" customFormat="1" ht="11.1" customHeight="1" x14ac:dyDescent="0.2">
      <c r="A269" s="403" t="s">
        <v>903</v>
      </c>
      <c r="B269" s="348" t="str">
        <f t="shared" si="90"/>
        <v/>
      </c>
      <c r="C269" s="348" t="str">
        <f t="shared" si="89"/>
        <v/>
      </c>
      <c r="D269" s="348">
        <f t="shared" si="89"/>
        <v>9.0000000000000036</v>
      </c>
      <c r="E269" s="348">
        <f t="shared" si="89"/>
        <v>1.7021276595744679</v>
      </c>
      <c r="F269" s="348">
        <f t="shared" si="89"/>
        <v>3.6043956043956049</v>
      </c>
      <c r="G269" s="348">
        <f t="shared" si="89"/>
        <v>4.6464075177829516</v>
      </c>
      <c r="H269" s="348">
        <f t="shared" ref="C269:U282" si="91">H47</f>
        <v>5.6469076704692611</v>
      </c>
      <c r="I269" s="348">
        <f t="shared" si="91"/>
        <v>6.3519923107461436</v>
      </c>
      <c r="J269" s="348">
        <f t="shared" si="91"/>
        <v>7.6029443062313122</v>
      </c>
      <c r="K269" s="348">
        <f t="shared" si="91"/>
        <v>10.182689427972431</v>
      </c>
      <c r="L269" s="348">
        <f t="shared" si="91"/>
        <v>17.939709390587666</v>
      </c>
      <c r="M269" s="348" t="str">
        <f t="shared" si="91"/>
        <v/>
      </c>
      <c r="N269" s="348" t="str">
        <f t="shared" si="91"/>
        <v/>
      </c>
      <c r="O269" s="348" t="str">
        <f t="shared" si="91"/>
        <v/>
      </c>
      <c r="P269" s="348" t="str">
        <f t="shared" si="91"/>
        <v/>
      </c>
      <c r="Q269" s="348" t="str">
        <f t="shared" si="91"/>
        <v/>
      </c>
      <c r="R269" s="348" t="str">
        <f t="shared" si="91"/>
        <v/>
      </c>
      <c r="S269" s="348" t="str">
        <f t="shared" si="91"/>
        <v/>
      </c>
      <c r="T269" s="348" t="str">
        <f t="shared" si="91"/>
        <v/>
      </c>
      <c r="U269" s="348" t="str">
        <f t="shared" si="91"/>
        <v/>
      </c>
      <c r="V269" s="615"/>
    </row>
    <row r="270" spans="1:22" s="355" customFormat="1" ht="11.1" customHeight="1" x14ac:dyDescent="0.2">
      <c r="A270" s="404"/>
      <c r="B270" s="350" t="str">
        <f t="shared" si="90"/>
        <v/>
      </c>
      <c r="C270" s="350" t="str">
        <f t="shared" si="91"/>
        <v/>
      </c>
      <c r="D270" s="350" t="str">
        <f t="shared" si="91"/>
        <v/>
      </c>
      <c r="E270" s="350" t="str">
        <f t="shared" si="91"/>
        <v/>
      </c>
      <c r="F270" s="350" t="str">
        <f t="shared" si="91"/>
        <v/>
      </c>
      <c r="G270" s="350" t="str">
        <f t="shared" si="91"/>
        <v/>
      </c>
      <c r="H270" s="350" t="str">
        <f t="shared" si="91"/>
        <v/>
      </c>
      <c r="I270" s="350" t="str">
        <f t="shared" si="91"/>
        <v/>
      </c>
      <c r="J270" s="350" t="str">
        <f t="shared" si="91"/>
        <v/>
      </c>
      <c r="K270" s="350" t="str">
        <f t="shared" si="91"/>
        <v/>
      </c>
      <c r="L270" s="350" t="str">
        <f t="shared" si="91"/>
        <v/>
      </c>
      <c r="M270" s="350" t="str">
        <f t="shared" si="91"/>
        <v/>
      </c>
      <c r="N270" s="350" t="str">
        <f t="shared" si="91"/>
        <v/>
      </c>
      <c r="O270" s="350" t="str">
        <f t="shared" si="91"/>
        <v/>
      </c>
      <c r="P270" s="350" t="str">
        <f t="shared" si="91"/>
        <v/>
      </c>
      <c r="Q270" s="350" t="str">
        <f t="shared" si="91"/>
        <v/>
      </c>
      <c r="R270" s="350" t="str">
        <f t="shared" si="91"/>
        <v/>
      </c>
      <c r="S270" s="350" t="str">
        <f t="shared" si="91"/>
        <v/>
      </c>
      <c r="T270" s="350" t="str">
        <f t="shared" si="91"/>
        <v/>
      </c>
      <c r="U270" s="350" t="str">
        <f t="shared" si="91"/>
        <v/>
      </c>
      <c r="V270" s="615"/>
    </row>
    <row r="271" spans="1:22" s="355" customFormat="1" ht="11.1" hidden="1" customHeight="1" x14ac:dyDescent="0.2">
      <c r="A271" s="354" t="s">
        <v>48</v>
      </c>
      <c r="B271" s="357" t="str">
        <f t="shared" si="90"/>
        <v/>
      </c>
      <c r="C271" s="357" t="str">
        <f t="shared" si="91"/>
        <v/>
      </c>
      <c r="D271" s="357">
        <f t="shared" si="91"/>
        <v>9.0000000000000036</v>
      </c>
      <c r="E271" s="357">
        <f t="shared" si="91"/>
        <v>1.7021276595744679</v>
      </c>
      <c r="F271" s="357">
        <f t="shared" si="91"/>
        <v>3.6043956043956049</v>
      </c>
      <c r="G271" s="357">
        <f t="shared" si="91"/>
        <v>4.6464075177829516</v>
      </c>
      <c r="H271" s="357">
        <f t="shared" si="91"/>
        <v>5.6469076704692611</v>
      </c>
      <c r="I271" s="357">
        <f t="shared" si="91"/>
        <v>6.3519923107461436</v>
      </c>
      <c r="J271" s="357">
        <f t="shared" si="91"/>
        <v>7.6029443062313122</v>
      </c>
      <c r="K271" s="357">
        <f t="shared" si="91"/>
        <v>10.182689427972431</v>
      </c>
      <c r="L271" s="357">
        <f t="shared" si="91"/>
        <v>17.939709390587666</v>
      </c>
      <c r="M271" s="357" t="str">
        <f t="shared" si="91"/>
        <v/>
      </c>
      <c r="N271" s="357" t="str">
        <f t="shared" si="91"/>
        <v/>
      </c>
      <c r="O271" s="357" t="str">
        <f t="shared" si="91"/>
        <v/>
      </c>
      <c r="P271" s="357" t="str">
        <f t="shared" si="91"/>
        <v/>
      </c>
      <c r="Q271" s="357" t="str">
        <f t="shared" si="91"/>
        <v/>
      </c>
      <c r="R271" s="357" t="str">
        <f t="shared" si="91"/>
        <v/>
      </c>
      <c r="S271" s="357" t="str">
        <f t="shared" si="91"/>
        <v/>
      </c>
      <c r="T271" s="357" t="str">
        <f t="shared" si="91"/>
        <v/>
      </c>
      <c r="U271" s="357" t="str">
        <f t="shared" si="91"/>
        <v/>
      </c>
      <c r="V271" s="615"/>
    </row>
    <row r="272" spans="1:22" s="355" customFormat="1" ht="11.1" hidden="1" customHeight="1" x14ac:dyDescent="0.2">
      <c r="A272" s="356"/>
      <c r="B272" s="349" t="str">
        <f t="shared" si="90"/>
        <v/>
      </c>
      <c r="C272" s="349" t="str">
        <f t="shared" si="91"/>
        <v/>
      </c>
      <c r="D272" s="349" t="str">
        <f t="shared" si="91"/>
        <v/>
      </c>
      <c r="E272" s="349" t="str">
        <f t="shared" si="91"/>
        <v/>
      </c>
      <c r="F272" s="349" t="str">
        <f t="shared" si="91"/>
        <v/>
      </c>
      <c r="G272" s="349" t="str">
        <f t="shared" si="91"/>
        <v/>
      </c>
      <c r="H272" s="349" t="str">
        <f t="shared" si="91"/>
        <v/>
      </c>
      <c r="I272" s="349" t="str">
        <f t="shared" si="91"/>
        <v/>
      </c>
      <c r="J272" s="349" t="str">
        <f t="shared" si="91"/>
        <v/>
      </c>
      <c r="K272" s="349" t="str">
        <f t="shared" si="91"/>
        <v/>
      </c>
      <c r="L272" s="349" t="str">
        <f t="shared" si="91"/>
        <v/>
      </c>
      <c r="M272" s="349" t="str">
        <f t="shared" si="91"/>
        <v/>
      </c>
      <c r="N272" s="349" t="str">
        <f t="shared" si="91"/>
        <v/>
      </c>
      <c r="O272" s="349" t="str">
        <f t="shared" si="91"/>
        <v/>
      </c>
      <c r="P272" s="349" t="str">
        <f t="shared" si="91"/>
        <v/>
      </c>
      <c r="Q272" s="349" t="str">
        <f t="shared" si="91"/>
        <v/>
      </c>
      <c r="R272" s="349" t="str">
        <f t="shared" si="91"/>
        <v/>
      </c>
      <c r="S272" s="349" t="str">
        <f t="shared" si="91"/>
        <v/>
      </c>
      <c r="T272" s="349" t="str">
        <f t="shared" si="91"/>
        <v/>
      </c>
      <c r="U272" s="349" t="str">
        <f t="shared" si="91"/>
        <v/>
      </c>
      <c r="V272" s="615"/>
    </row>
    <row r="273" spans="1:22" s="355" customFormat="1" ht="11.1" customHeight="1" x14ac:dyDescent="0.2">
      <c r="A273" s="403" t="s">
        <v>49</v>
      </c>
      <c r="B273" s="348">
        <f t="shared" si="90"/>
        <v>0.01</v>
      </c>
      <c r="C273" s="348">
        <f t="shared" si="91"/>
        <v>0.01</v>
      </c>
      <c r="D273" s="348">
        <f t="shared" si="91"/>
        <v>0.01</v>
      </c>
      <c r="E273" s="348">
        <f t="shared" si="91"/>
        <v>8</v>
      </c>
      <c r="F273" s="348">
        <f t="shared" si="91"/>
        <v>10.119999999999999</v>
      </c>
      <c r="G273" s="348">
        <f t="shared" si="91"/>
        <v>10.119999999999999</v>
      </c>
      <c r="H273" s="348">
        <f t="shared" si="91"/>
        <v>10.119999999999999</v>
      </c>
      <c r="I273" s="348">
        <f t="shared" si="91"/>
        <v>10.119999999999999</v>
      </c>
      <c r="J273" s="348">
        <f t="shared" si="91"/>
        <v>10.119999999999999</v>
      </c>
      <c r="K273" s="348">
        <f t="shared" si="91"/>
        <v>10.119999999999999</v>
      </c>
      <c r="L273" s="348">
        <f t="shared" si="91"/>
        <v>10.119999999999999</v>
      </c>
      <c r="M273" s="348" t="str">
        <f t="shared" si="91"/>
        <v/>
      </c>
      <c r="N273" s="348" t="str">
        <f t="shared" si="91"/>
        <v/>
      </c>
      <c r="O273" s="348" t="str">
        <f t="shared" si="91"/>
        <v/>
      </c>
      <c r="P273" s="348" t="str">
        <f t="shared" si="91"/>
        <v/>
      </c>
      <c r="Q273" s="348" t="str">
        <f t="shared" si="91"/>
        <v/>
      </c>
      <c r="R273" s="348" t="str">
        <f t="shared" si="91"/>
        <v/>
      </c>
      <c r="S273" s="348" t="str">
        <f t="shared" si="91"/>
        <v/>
      </c>
      <c r="T273" s="348" t="str">
        <f t="shared" si="91"/>
        <v/>
      </c>
      <c r="U273" s="348" t="str">
        <f t="shared" si="91"/>
        <v/>
      </c>
      <c r="V273" s="615"/>
    </row>
    <row r="274" spans="1:22" s="355" customFormat="1" ht="11.1" customHeight="1" x14ac:dyDescent="0.2">
      <c r="A274" s="404"/>
      <c r="B274" s="350" t="str">
        <f t="shared" si="90"/>
        <v/>
      </c>
      <c r="C274" s="350" t="str">
        <f t="shared" si="91"/>
        <v/>
      </c>
      <c r="D274" s="350" t="str">
        <f t="shared" si="91"/>
        <v/>
      </c>
      <c r="E274" s="350" t="str">
        <f t="shared" si="91"/>
        <v/>
      </c>
      <c r="F274" s="350" t="str">
        <f t="shared" si="91"/>
        <v/>
      </c>
      <c r="G274" s="350" t="str">
        <f t="shared" si="91"/>
        <v/>
      </c>
      <c r="H274" s="350" t="str">
        <f t="shared" si="91"/>
        <v/>
      </c>
      <c r="I274" s="350" t="str">
        <f t="shared" si="91"/>
        <v/>
      </c>
      <c r="J274" s="350" t="str">
        <f t="shared" si="91"/>
        <v/>
      </c>
      <c r="K274" s="350" t="str">
        <f t="shared" si="91"/>
        <v/>
      </c>
      <c r="L274" s="350" t="str">
        <f t="shared" si="91"/>
        <v/>
      </c>
      <c r="M274" s="350" t="str">
        <f t="shared" si="91"/>
        <v/>
      </c>
      <c r="N274" s="350" t="str">
        <f t="shared" si="91"/>
        <v/>
      </c>
      <c r="O274" s="350" t="str">
        <f t="shared" si="91"/>
        <v/>
      </c>
      <c r="P274" s="350" t="str">
        <f t="shared" si="91"/>
        <v/>
      </c>
      <c r="Q274" s="350" t="str">
        <f t="shared" si="91"/>
        <v/>
      </c>
      <c r="R274" s="350" t="str">
        <f t="shared" si="91"/>
        <v/>
      </c>
      <c r="S274" s="350" t="str">
        <f t="shared" si="91"/>
        <v/>
      </c>
      <c r="T274" s="350" t="str">
        <f t="shared" si="91"/>
        <v/>
      </c>
      <c r="U274" s="350" t="str">
        <f t="shared" si="91"/>
        <v/>
      </c>
      <c r="V274" s="615"/>
    </row>
    <row r="275" spans="1:22" s="355" customFormat="1" ht="11.1" customHeight="1" x14ac:dyDescent="0.2">
      <c r="A275" s="403" t="s">
        <v>50</v>
      </c>
      <c r="B275" s="348">
        <f t="shared" si="90"/>
        <v>7.9999999999999974E-2</v>
      </c>
      <c r="C275" s="348">
        <f t="shared" si="91"/>
        <v>0.16999999999999998</v>
      </c>
      <c r="D275" s="348">
        <f t="shared" si="91"/>
        <v>0.44000000000000017</v>
      </c>
      <c r="E275" s="348">
        <f t="shared" si="91"/>
        <v>8.5670000000000002</v>
      </c>
      <c r="F275" s="348">
        <f t="shared" si="91"/>
        <v>11.247</v>
      </c>
      <c r="G275" s="348">
        <f t="shared" si="91"/>
        <v>12.464507500000002</v>
      </c>
      <c r="H275" s="348">
        <f t="shared" si="91"/>
        <v>14.111916500000003</v>
      </c>
      <c r="I275" s="348">
        <f t="shared" si="91"/>
        <v>15.953643750000003</v>
      </c>
      <c r="J275" s="348">
        <f t="shared" si="91"/>
        <v>17.974723249999997</v>
      </c>
      <c r="K275" s="348">
        <f t="shared" si="91"/>
        <v>20.193128250000001</v>
      </c>
      <c r="L275" s="348">
        <f t="shared" si="91"/>
        <v>22.742396999999997</v>
      </c>
      <c r="M275" s="348">
        <f t="shared" si="91"/>
        <v>12.622396999999999</v>
      </c>
      <c r="N275" s="348">
        <f t="shared" si="91"/>
        <v>12.622396999999999</v>
      </c>
      <c r="O275" s="348">
        <f t="shared" si="91"/>
        <v>12.622396999999999</v>
      </c>
      <c r="P275" s="348">
        <f t="shared" si="91"/>
        <v>12.622396999999999</v>
      </c>
      <c r="Q275" s="348">
        <f t="shared" si="91"/>
        <v>12.622396999999999</v>
      </c>
      <c r="R275" s="348">
        <f t="shared" si="91"/>
        <v>12.622396999999999</v>
      </c>
      <c r="S275" s="348">
        <f t="shared" si="91"/>
        <v>12.622396999999999</v>
      </c>
      <c r="T275" s="348">
        <f t="shared" si="91"/>
        <v>12.622396999999999</v>
      </c>
      <c r="U275" s="348">
        <f t="shared" si="91"/>
        <v>12.622396999999999</v>
      </c>
      <c r="V275" s="615"/>
    </row>
    <row r="276" spans="1:22" s="355" customFormat="1" ht="11.1" customHeight="1" x14ac:dyDescent="0.2">
      <c r="A276" s="404"/>
      <c r="B276" s="350" t="str">
        <f t="shared" si="90"/>
        <v/>
      </c>
      <c r="C276" s="350" t="str">
        <f t="shared" si="91"/>
        <v/>
      </c>
      <c r="D276" s="350" t="str">
        <f t="shared" si="91"/>
        <v/>
      </c>
      <c r="E276" s="350" t="str">
        <f t="shared" si="91"/>
        <v/>
      </c>
      <c r="F276" s="350" t="str">
        <f t="shared" si="91"/>
        <v/>
      </c>
      <c r="G276" s="350" t="str">
        <f t="shared" si="91"/>
        <v/>
      </c>
      <c r="H276" s="350" t="str">
        <f t="shared" si="91"/>
        <v/>
      </c>
      <c r="I276" s="350" t="str">
        <f t="shared" si="91"/>
        <v/>
      </c>
      <c r="J276" s="350" t="str">
        <f t="shared" si="91"/>
        <v/>
      </c>
      <c r="K276" s="350" t="str">
        <f t="shared" si="91"/>
        <v/>
      </c>
      <c r="L276" s="350" t="str">
        <f t="shared" si="91"/>
        <v/>
      </c>
      <c r="M276" s="350" t="str">
        <f t="shared" si="91"/>
        <v/>
      </c>
      <c r="N276" s="350" t="str">
        <f t="shared" si="91"/>
        <v/>
      </c>
      <c r="O276" s="350" t="str">
        <f t="shared" si="91"/>
        <v/>
      </c>
      <c r="P276" s="350" t="str">
        <f t="shared" si="91"/>
        <v/>
      </c>
      <c r="Q276" s="350" t="str">
        <f t="shared" si="91"/>
        <v/>
      </c>
      <c r="R276" s="350" t="str">
        <f t="shared" si="91"/>
        <v/>
      </c>
      <c r="S276" s="350" t="str">
        <f t="shared" si="91"/>
        <v/>
      </c>
      <c r="T276" s="350" t="str">
        <f t="shared" si="91"/>
        <v/>
      </c>
      <c r="U276" s="350" t="str">
        <f t="shared" si="91"/>
        <v/>
      </c>
      <c r="V276" s="615"/>
    </row>
    <row r="277" spans="1:22" s="355" customFormat="1" ht="11.1" customHeight="1" x14ac:dyDescent="0.2">
      <c r="A277" s="403" t="s">
        <v>19</v>
      </c>
      <c r="B277" s="348">
        <f t="shared" si="90"/>
        <v>7.9999999999999974E-2</v>
      </c>
      <c r="C277" s="348">
        <f t="shared" si="91"/>
        <v>0.16999999999999998</v>
      </c>
      <c r="D277" s="348">
        <f t="shared" si="91"/>
        <v>0.44000000000000017</v>
      </c>
      <c r="E277" s="348">
        <f t="shared" si="91"/>
        <v>8.5670000000000002</v>
      </c>
      <c r="F277" s="348">
        <f t="shared" si="91"/>
        <v>11.247</v>
      </c>
      <c r="G277" s="348">
        <f t="shared" si="91"/>
        <v>12.464507500000002</v>
      </c>
      <c r="H277" s="348">
        <f t="shared" si="91"/>
        <v>14.111916500000003</v>
      </c>
      <c r="I277" s="348">
        <f t="shared" si="91"/>
        <v>15.953643750000003</v>
      </c>
      <c r="J277" s="348">
        <f t="shared" si="91"/>
        <v>17.974723249999997</v>
      </c>
      <c r="K277" s="348">
        <f t="shared" si="91"/>
        <v>20.193128250000001</v>
      </c>
      <c r="L277" s="348">
        <f t="shared" si="91"/>
        <v>22.742396999999997</v>
      </c>
      <c r="M277" s="348">
        <f t="shared" si="91"/>
        <v>12.622396999999999</v>
      </c>
      <c r="N277" s="348">
        <f t="shared" si="91"/>
        <v>12.622396999999999</v>
      </c>
      <c r="O277" s="348">
        <f t="shared" si="91"/>
        <v>12.622396999999999</v>
      </c>
      <c r="P277" s="348">
        <f t="shared" si="91"/>
        <v>12.622396999999999</v>
      </c>
      <c r="Q277" s="348">
        <f t="shared" si="91"/>
        <v>12.622396999999999</v>
      </c>
      <c r="R277" s="348">
        <f t="shared" si="91"/>
        <v>12.622396999999999</v>
      </c>
      <c r="S277" s="348">
        <f t="shared" si="91"/>
        <v>12.622396999999999</v>
      </c>
      <c r="T277" s="348">
        <f t="shared" si="91"/>
        <v>12.622396999999999</v>
      </c>
      <c r="U277" s="348">
        <f t="shared" si="91"/>
        <v>12.622396999999999</v>
      </c>
      <c r="V277" s="615"/>
    </row>
    <row r="278" spans="1:22" s="355" customFormat="1" ht="11.1" customHeight="1" x14ac:dyDescent="0.2">
      <c r="A278" s="404"/>
      <c r="B278" s="350" t="str">
        <f t="shared" si="90"/>
        <v/>
      </c>
      <c r="C278" s="350" t="str">
        <f t="shared" si="91"/>
        <v/>
      </c>
      <c r="D278" s="350" t="str">
        <f t="shared" si="91"/>
        <v/>
      </c>
      <c r="E278" s="350" t="str">
        <f t="shared" si="91"/>
        <v/>
      </c>
      <c r="F278" s="350" t="str">
        <f t="shared" si="91"/>
        <v/>
      </c>
      <c r="G278" s="350" t="str">
        <f t="shared" si="91"/>
        <v/>
      </c>
      <c r="H278" s="350" t="str">
        <f t="shared" si="91"/>
        <v/>
      </c>
      <c r="I278" s="350" t="str">
        <f t="shared" si="91"/>
        <v/>
      </c>
      <c r="J278" s="350" t="str">
        <f t="shared" si="91"/>
        <v/>
      </c>
      <c r="K278" s="350" t="str">
        <f t="shared" si="91"/>
        <v/>
      </c>
      <c r="L278" s="350" t="str">
        <f t="shared" si="91"/>
        <v/>
      </c>
      <c r="M278" s="350" t="str">
        <f t="shared" si="91"/>
        <v/>
      </c>
      <c r="N278" s="350" t="str">
        <f t="shared" si="91"/>
        <v/>
      </c>
      <c r="O278" s="350" t="str">
        <f t="shared" si="91"/>
        <v/>
      </c>
      <c r="P278" s="350" t="str">
        <f t="shared" si="91"/>
        <v/>
      </c>
      <c r="Q278" s="350" t="str">
        <f t="shared" si="91"/>
        <v/>
      </c>
      <c r="R278" s="350" t="str">
        <f t="shared" si="91"/>
        <v/>
      </c>
      <c r="S278" s="350" t="str">
        <f t="shared" si="91"/>
        <v/>
      </c>
      <c r="T278" s="350" t="str">
        <f t="shared" si="91"/>
        <v/>
      </c>
      <c r="U278" s="350" t="str">
        <f t="shared" si="91"/>
        <v/>
      </c>
      <c r="V278" s="615"/>
    </row>
    <row r="279" spans="1:22" s="355" customFormat="1" ht="11.1" customHeight="1" x14ac:dyDescent="0.2">
      <c r="A279" s="403" t="s">
        <v>20</v>
      </c>
      <c r="B279" s="348">
        <f t="shared" si="90"/>
        <v>2.5000000000000009</v>
      </c>
      <c r="C279" s="348">
        <f t="shared" si="91"/>
        <v>1.5882352941176474</v>
      </c>
      <c r="D279" s="348">
        <f t="shared" si="91"/>
        <v>10.02272727272727</v>
      </c>
      <c r="E279" s="348">
        <f t="shared" si="91"/>
        <v>0.77074821991362197</v>
      </c>
      <c r="F279" s="348">
        <f t="shared" si="91"/>
        <v>1.3763670312083223</v>
      </c>
      <c r="G279" s="348">
        <f t="shared" si="91"/>
        <v>1.2012682811575188</v>
      </c>
      <c r="H279" s="348">
        <f t="shared" si="91"/>
        <v>0.97133943500870412</v>
      </c>
      <c r="I279" s="348">
        <f t="shared" si="91"/>
        <v>0.71900441239325075</v>
      </c>
      <c r="J279" s="348">
        <f t="shared" si="91"/>
        <v>0.50891495645141649</v>
      </c>
      <c r="K279" s="348">
        <f t="shared" si="91"/>
        <v>0.32638553662432224</v>
      </c>
      <c r="L279" s="348">
        <f t="shared" si="91"/>
        <v>0.1535697292594092</v>
      </c>
      <c r="M279" s="348" t="str">
        <f t="shared" si="91"/>
        <v/>
      </c>
      <c r="N279" s="348" t="str">
        <f t="shared" si="91"/>
        <v/>
      </c>
      <c r="O279" s="348" t="str">
        <f t="shared" si="91"/>
        <v/>
      </c>
      <c r="P279" s="348" t="str">
        <f t="shared" si="91"/>
        <v/>
      </c>
      <c r="Q279" s="348" t="str">
        <f t="shared" si="91"/>
        <v/>
      </c>
      <c r="R279" s="348" t="str">
        <f t="shared" si="91"/>
        <v/>
      </c>
      <c r="S279" s="348" t="str">
        <f t="shared" si="91"/>
        <v/>
      </c>
      <c r="T279" s="348" t="str">
        <f t="shared" si="91"/>
        <v/>
      </c>
      <c r="U279" s="348" t="str">
        <f t="shared" si="91"/>
        <v/>
      </c>
      <c r="V279" s="615"/>
    </row>
    <row r="280" spans="1:22" s="355" customFormat="1" ht="11.1" customHeight="1" x14ac:dyDescent="0.2">
      <c r="A280" s="404"/>
      <c r="B280" s="350" t="str">
        <f t="shared" si="90"/>
        <v/>
      </c>
      <c r="C280" s="350" t="str">
        <f t="shared" si="91"/>
        <v/>
      </c>
      <c r="D280" s="350" t="str">
        <f t="shared" si="91"/>
        <v/>
      </c>
      <c r="E280" s="350" t="str">
        <f t="shared" si="91"/>
        <v/>
      </c>
      <c r="F280" s="350" t="str">
        <f t="shared" si="91"/>
        <v/>
      </c>
      <c r="G280" s="350" t="str">
        <f t="shared" si="91"/>
        <v/>
      </c>
      <c r="H280" s="350" t="str">
        <f t="shared" si="91"/>
        <v/>
      </c>
      <c r="I280" s="350" t="str">
        <f t="shared" si="91"/>
        <v/>
      </c>
      <c r="J280" s="350" t="str">
        <f t="shared" si="91"/>
        <v/>
      </c>
      <c r="K280" s="350" t="str">
        <f t="shared" si="91"/>
        <v/>
      </c>
      <c r="L280" s="350" t="str">
        <f t="shared" si="91"/>
        <v/>
      </c>
      <c r="M280" s="350" t="str">
        <f t="shared" si="91"/>
        <v/>
      </c>
      <c r="N280" s="350" t="str">
        <f t="shared" si="91"/>
        <v/>
      </c>
      <c r="O280" s="350" t="str">
        <f t="shared" si="91"/>
        <v/>
      </c>
      <c r="P280" s="350" t="str">
        <f t="shared" si="91"/>
        <v/>
      </c>
      <c r="Q280" s="350" t="str">
        <f t="shared" si="91"/>
        <v/>
      </c>
      <c r="R280" s="350" t="str">
        <f t="shared" si="91"/>
        <v/>
      </c>
      <c r="S280" s="350" t="str">
        <f t="shared" si="91"/>
        <v/>
      </c>
      <c r="T280" s="350" t="str">
        <f t="shared" si="91"/>
        <v/>
      </c>
      <c r="U280" s="350" t="str">
        <f t="shared" si="91"/>
        <v/>
      </c>
      <c r="V280" s="615"/>
    </row>
    <row r="281" spans="1:22" s="355" customFormat="1" ht="11.1" customHeight="1" x14ac:dyDescent="0.2">
      <c r="A281" s="403" t="s">
        <v>51</v>
      </c>
      <c r="B281" s="348">
        <f t="shared" si="90"/>
        <v>2.5000000000000009</v>
      </c>
      <c r="C281" s="348">
        <f t="shared" si="91"/>
        <v>1.5882352941176474</v>
      </c>
      <c r="D281" s="348">
        <f t="shared" si="91"/>
        <v>10.02272727272727</v>
      </c>
      <c r="E281" s="348">
        <f t="shared" si="91"/>
        <v>0.77074821991362197</v>
      </c>
      <c r="F281" s="348">
        <f t="shared" si="91"/>
        <v>1.3763670312083223</v>
      </c>
      <c r="G281" s="348">
        <f t="shared" si="91"/>
        <v>1.2012682811575188</v>
      </c>
      <c r="H281" s="348">
        <f t="shared" si="91"/>
        <v>0.97133943500870412</v>
      </c>
      <c r="I281" s="348">
        <f t="shared" si="91"/>
        <v>0.71900441239325075</v>
      </c>
      <c r="J281" s="348">
        <f t="shared" si="91"/>
        <v>0.50891495645141649</v>
      </c>
      <c r="K281" s="348">
        <f t="shared" si="91"/>
        <v>0.32638553662432224</v>
      </c>
      <c r="L281" s="348">
        <f t="shared" si="91"/>
        <v>0.1535697292594092</v>
      </c>
      <c r="M281" s="348" t="str">
        <f t="shared" si="91"/>
        <v/>
      </c>
      <c r="N281" s="348" t="str">
        <f t="shared" si="91"/>
        <v/>
      </c>
      <c r="O281" s="348" t="str">
        <f t="shared" si="91"/>
        <v/>
      </c>
      <c r="P281" s="348" t="str">
        <f t="shared" si="91"/>
        <v/>
      </c>
      <c r="Q281" s="348" t="str">
        <f t="shared" si="91"/>
        <v/>
      </c>
      <c r="R281" s="348" t="str">
        <f t="shared" si="91"/>
        <v/>
      </c>
      <c r="S281" s="348" t="str">
        <f t="shared" si="91"/>
        <v/>
      </c>
      <c r="T281" s="348" t="str">
        <f t="shared" si="91"/>
        <v/>
      </c>
      <c r="U281" s="348" t="str">
        <f t="shared" si="91"/>
        <v/>
      </c>
      <c r="V281" s="615"/>
    </row>
    <row r="282" spans="1:22" s="355" customFormat="1" ht="11.1" customHeight="1" x14ac:dyDescent="0.2">
      <c r="A282" s="404"/>
      <c r="B282" s="350" t="str">
        <f t="shared" si="90"/>
        <v/>
      </c>
      <c r="C282" s="350" t="str">
        <f t="shared" si="91"/>
        <v/>
      </c>
      <c r="D282" s="350" t="str">
        <f t="shared" si="91"/>
        <v/>
      </c>
      <c r="E282" s="350" t="str">
        <f t="shared" si="91"/>
        <v/>
      </c>
      <c r="F282" s="350" t="str">
        <f t="shared" si="91"/>
        <v/>
      </c>
      <c r="G282" s="350" t="str">
        <f t="shared" si="91"/>
        <v/>
      </c>
      <c r="H282" s="350" t="str">
        <f t="shared" si="91"/>
        <v/>
      </c>
      <c r="I282" s="350" t="str">
        <f t="shared" si="91"/>
        <v/>
      </c>
      <c r="J282" s="350" t="str">
        <f t="shared" si="91"/>
        <v/>
      </c>
      <c r="K282" s="350" t="str">
        <f t="shared" si="91"/>
        <v/>
      </c>
      <c r="L282" s="350" t="str">
        <f t="shared" si="91"/>
        <v/>
      </c>
      <c r="M282" s="350" t="str">
        <f t="shared" si="91"/>
        <v/>
      </c>
      <c r="N282" s="350" t="str">
        <f t="shared" si="91"/>
        <v/>
      </c>
      <c r="O282" s="350" t="str">
        <f t="shared" si="91"/>
        <v/>
      </c>
      <c r="P282" s="350" t="str">
        <f t="shared" ref="C282:U288" si="92">P60</f>
        <v/>
      </c>
      <c r="Q282" s="350" t="str">
        <f t="shared" si="92"/>
        <v/>
      </c>
      <c r="R282" s="350" t="str">
        <f t="shared" si="92"/>
        <v/>
      </c>
      <c r="S282" s="350" t="str">
        <f t="shared" si="92"/>
        <v/>
      </c>
      <c r="T282" s="350" t="str">
        <f t="shared" si="92"/>
        <v/>
      </c>
      <c r="U282" s="350" t="str">
        <f t="shared" si="92"/>
        <v/>
      </c>
      <c r="V282" s="615"/>
    </row>
    <row r="283" spans="1:22" s="355" customFormat="1" ht="11.1" customHeight="1" x14ac:dyDescent="0.2">
      <c r="A283" s="403" t="s">
        <v>323</v>
      </c>
      <c r="B283" s="348">
        <f t="shared" si="90"/>
        <v>1.3125</v>
      </c>
      <c r="C283" s="348">
        <f t="shared" si="92"/>
        <v>2.4666666666666672</v>
      </c>
      <c r="D283" s="348">
        <f t="shared" si="92"/>
        <v>0.55199999999999982</v>
      </c>
      <c r="E283" s="348">
        <f t="shared" si="92"/>
        <v>0.63576945929887108</v>
      </c>
      <c r="F283" s="348">
        <f t="shared" si="92"/>
        <v>1.3706896551724135</v>
      </c>
      <c r="G283" s="348">
        <f t="shared" si="92"/>
        <v>1.7065156370193002</v>
      </c>
      <c r="H283" s="348">
        <f t="shared" si="92"/>
        <v>1.9671691695156748</v>
      </c>
      <c r="I283" s="348">
        <f t="shared" si="92"/>
        <v>2.2362273179947043</v>
      </c>
      <c r="J283" s="348">
        <f t="shared" si="92"/>
        <v>2.4258557457859005</v>
      </c>
      <c r="K283" s="348">
        <f t="shared" si="92"/>
        <v>2.4281107446881953</v>
      </c>
      <c r="L283" s="348">
        <f t="shared" si="92"/>
        <v>4.7814455617055636</v>
      </c>
      <c r="M283" s="348" t="str">
        <f t="shared" si="92"/>
        <v/>
      </c>
      <c r="N283" s="348" t="str">
        <f t="shared" si="92"/>
        <v/>
      </c>
      <c r="O283" s="348" t="str">
        <f t="shared" si="92"/>
        <v/>
      </c>
      <c r="P283" s="348" t="str">
        <f t="shared" si="92"/>
        <v/>
      </c>
      <c r="Q283" s="348" t="str">
        <f t="shared" si="92"/>
        <v/>
      </c>
      <c r="R283" s="348" t="str">
        <f t="shared" si="92"/>
        <v/>
      </c>
      <c r="S283" s="348" t="str">
        <f t="shared" si="92"/>
        <v/>
      </c>
      <c r="T283" s="348" t="str">
        <f t="shared" si="92"/>
        <v/>
      </c>
      <c r="U283" s="348" t="str">
        <f t="shared" si="92"/>
        <v/>
      </c>
      <c r="V283" s="615"/>
    </row>
    <row r="284" spans="1:22" s="355" customFormat="1" ht="11.1" customHeight="1" x14ac:dyDescent="0.2">
      <c r="A284" s="404"/>
      <c r="B284" s="350" t="str">
        <f t="shared" si="90"/>
        <v/>
      </c>
      <c r="C284" s="350" t="str">
        <f t="shared" si="92"/>
        <v/>
      </c>
      <c r="D284" s="350" t="str">
        <f t="shared" si="92"/>
        <v/>
      </c>
      <c r="E284" s="350" t="str">
        <f t="shared" si="92"/>
        <v/>
      </c>
      <c r="F284" s="350" t="str">
        <f t="shared" si="92"/>
        <v/>
      </c>
      <c r="G284" s="350" t="str">
        <f t="shared" si="92"/>
        <v/>
      </c>
      <c r="H284" s="350" t="str">
        <f t="shared" si="92"/>
        <v/>
      </c>
      <c r="I284" s="350" t="str">
        <f t="shared" si="92"/>
        <v/>
      </c>
      <c r="J284" s="350" t="str">
        <f t="shared" si="92"/>
        <v/>
      </c>
      <c r="K284" s="350" t="str">
        <f t="shared" si="92"/>
        <v/>
      </c>
      <c r="L284" s="350" t="str">
        <f t="shared" si="92"/>
        <v/>
      </c>
      <c r="M284" s="350" t="str">
        <f t="shared" si="92"/>
        <v/>
      </c>
      <c r="N284" s="350" t="str">
        <f t="shared" si="92"/>
        <v/>
      </c>
      <c r="O284" s="350" t="str">
        <f t="shared" si="92"/>
        <v/>
      </c>
      <c r="P284" s="350" t="str">
        <f t="shared" si="92"/>
        <v/>
      </c>
      <c r="Q284" s="350" t="str">
        <f t="shared" si="92"/>
        <v/>
      </c>
      <c r="R284" s="350" t="str">
        <f t="shared" si="92"/>
        <v/>
      </c>
      <c r="S284" s="350" t="str">
        <f t="shared" si="92"/>
        <v/>
      </c>
      <c r="T284" s="350" t="str">
        <f t="shared" si="92"/>
        <v/>
      </c>
      <c r="U284" s="350" t="str">
        <f t="shared" si="92"/>
        <v/>
      </c>
      <c r="V284" s="615"/>
    </row>
    <row r="285" spans="1:22" s="355" customFormat="1" ht="11.1" customHeight="1" x14ac:dyDescent="0.2">
      <c r="A285" s="403" t="s">
        <v>27</v>
      </c>
      <c r="B285" s="348">
        <f t="shared" si="90"/>
        <v>46.43</v>
      </c>
      <c r="C285" s="348">
        <f t="shared" si="92"/>
        <v>34.090000000000003</v>
      </c>
      <c r="D285" s="348">
        <f t="shared" si="92"/>
        <v>9.2799999999999994</v>
      </c>
      <c r="E285" s="348">
        <f t="shared" si="92"/>
        <v>5.25</v>
      </c>
      <c r="F285" s="348">
        <f t="shared" si="92"/>
        <v>12.23</v>
      </c>
      <c r="G285" s="348">
        <f t="shared" si="92"/>
        <v>19.420000000000002</v>
      </c>
      <c r="H285" s="348">
        <f t="shared" si="92"/>
        <v>19.559999999999999</v>
      </c>
      <c r="I285" s="348">
        <f t="shared" si="92"/>
        <v>19.38</v>
      </c>
      <c r="J285" s="348">
        <f t="shared" si="92"/>
        <v>19.100000000000001</v>
      </c>
      <c r="K285" s="348">
        <f t="shared" si="92"/>
        <v>19.04</v>
      </c>
      <c r="L285" s="348">
        <f t="shared" si="92"/>
        <v>19.7</v>
      </c>
      <c r="M285" s="348" t="str">
        <f t="shared" si="92"/>
        <v/>
      </c>
      <c r="N285" s="348" t="str">
        <f t="shared" si="92"/>
        <v/>
      </c>
      <c r="O285" s="348" t="str">
        <f t="shared" si="92"/>
        <v/>
      </c>
      <c r="P285" s="348" t="str">
        <f t="shared" si="92"/>
        <v/>
      </c>
      <c r="Q285" s="348" t="str">
        <f t="shared" si="92"/>
        <v/>
      </c>
      <c r="R285" s="348" t="str">
        <f t="shared" si="92"/>
        <v/>
      </c>
      <c r="S285" s="348" t="str">
        <f t="shared" si="92"/>
        <v/>
      </c>
      <c r="T285" s="348" t="str">
        <f t="shared" si="92"/>
        <v/>
      </c>
      <c r="U285" s="348" t="str">
        <f t="shared" si="92"/>
        <v/>
      </c>
      <c r="V285" s="615"/>
    </row>
    <row r="286" spans="1:22" s="355" customFormat="1" ht="11.1" customHeight="1" x14ac:dyDescent="0.2">
      <c r="A286" s="404"/>
      <c r="B286" s="350" t="str">
        <f t="shared" si="90"/>
        <v/>
      </c>
      <c r="C286" s="350" t="str">
        <f t="shared" si="92"/>
        <v/>
      </c>
      <c r="D286" s="350" t="str">
        <f t="shared" si="92"/>
        <v/>
      </c>
      <c r="E286" s="350" t="str">
        <f t="shared" si="92"/>
        <v/>
      </c>
      <c r="F286" s="350" t="str">
        <f t="shared" si="92"/>
        <v/>
      </c>
      <c r="G286" s="350" t="str">
        <f t="shared" si="92"/>
        <v/>
      </c>
      <c r="H286" s="350" t="str">
        <f t="shared" si="92"/>
        <v/>
      </c>
      <c r="I286" s="350" t="str">
        <f t="shared" si="92"/>
        <v/>
      </c>
      <c r="J286" s="350" t="str">
        <f t="shared" si="92"/>
        <v/>
      </c>
      <c r="K286" s="350" t="str">
        <f t="shared" si="92"/>
        <v/>
      </c>
      <c r="L286" s="350" t="str">
        <f t="shared" si="92"/>
        <v/>
      </c>
      <c r="M286" s="350" t="str">
        <f t="shared" si="92"/>
        <v/>
      </c>
      <c r="N286" s="350" t="str">
        <f t="shared" si="92"/>
        <v/>
      </c>
      <c r="O286" s="350" t="str">
        <f t="shared" si="92"/>
        <v/>
      </c>
      <c r="P286" s="350" t="str">
        <f t="shared" si="92"/>
        <v/>
      </c>
      <c r="Q286" s="350" t="str">
        <f t="shared" si="92"/>
        <v/>
      </c>
      <c r="R286" s="350" t="str">
        <f t="shared" si="92"/>
        <v/>
      </c>
      <c r="S286" s="350" t="str">
        <f t="shared" si="92"/>
        <v/>
      </c>
      <c r="T286" s="350" t="str">
        <f t="shared" si="92"/>
        <v/>
      </c>
      <c r="U286" s="350" t="str">
        <f t="shared" si="92"/>
        <v/>
      </c>
      <c r="V286" s="615"/>
    </row>
    <row r="287" spans="1:22" s="937" customFormat="1" ht="26.25" customHeight="1" x14ac:dyDescent="0.2">
      <c r="A287" s="934" t="s">
        <v>397</v>
      </c>
      <c r="B287" s="935">
        <f t="shared" si="90"/>
        <v>5</v>
      </c>
      <c r="C287" s="935">
        <f t="shared" si="92"/>
        <v>35</v>
      </c>
      <c r="D287" s="935">
        <f t="shared" si="92"/>
        <v>48</v>
      </c>
      <c r="E287" s="935">
        <f t="shared" si="92"/>
        <v>55</v>
      </c>
      <c r="F287" s="935">
        <f t="shared" si="92"/>
        <v>82</v>
      </c>
      <c r="G287" s="935">
        <f t="shared" si="92"/>
        <v>78</v>
      </c>
      <c r="H287" s="935">
        <f t="shared" si="92"/>
        <v>86</v>
      </c>
      <c r="I287" s="935">
        <f t="shared" si="92"/>
        <v>87</v>
      </c>
      <c r="J287" s="935">
        <f t="shared" si="92"/>
        <v>87</v>
      </c>
      <c r="K287" s="935">
        <f t="shared" si="92"/>
        <v>85</v>
      </c>
      <c r="L287" s="935">
        <f t="shared" si="92"/>
        <v>82</v>
      </c>
      <c r="M287" s="935" t="str">
        <f t="shared" si="92"/>
        <v/>
      </c>
      <c r="N287" s="935" t="str">
        <f t="shared" si="92"/>
        <v/>
      </c>
      <c r="O287" s="935" t="str">
        <f t="shared" si="92"/>
        <v/>
      </c>
      <c r="P287" s="935" t="str">
        <f t="shared" si="92"/>
        <v/>
      </c>
      <c r="Q287" s="935" t="str">
        <f t="shared" si="92"/>
        <v/>
      </c>
      <c r="R287" s="935" t="str">
        <f t="shared" si="92"/>
        <v/>
      </c>
      <c r="S287" s="935" t="str">
        <f t="shared" si="92"/>
        <v/>
      </c>
      <c r="T287" s="935" t="str">
        <f t="shared" si="92"/>
        <v/>
      </c>
      <c r="U287" s="935" t="str">
        <f t="shared" si="92"/>
        <v/>
      </c>
      <c r="V287" s="936"/>
    </row>
    <row r="288" spans="1:22" s="355" customFormat="1" ht="11.1" customHeight="1" x14ac:dyDescent="0.2">
      <c r="A288" s="404"/>
      <c r="B288" s="350" t="str">
        <f t="shared" si="90"/>
        <v/>
      </c>
      <c r="C288" s="350" t="str">
        <f t="shared" si="92"/>
        <v/>
      </c>
      <c r="D288" s="350" t="str">
        <f t="shared" si="92"/>
        <v/>
      </c>
      <c r="E288" s="350" t="str">
        <f t="shared" si="92"/>
        <v/>
      </c>
      <c r="F288" s="350" t="str">
        <f t="shared" si="92"/>
        <v/>
      </c>
      <c r="G288" s="350" t="str">
        <f t="shared" si="92"/>
        <v/>
      </c>
      <c r="H288" s="350" t="str">
        <f t="shared" si="92"/>
        <v/>
      </c>
      <c r="I288" s="350" t="str">
        <f t="shared" si="92"/>
        <v/>
      </c>
      <c r="J288" s="350" t="str">
        <f t="shared" si="92"/>
        <v/>
      </c>
      <c r="K288" s="350" t="str">
        <f t="shared" si="92"/>
        <v/>
      </c>
      <c r="L288" s="350" t="str">
        <f t="shared" si="92"/>
        <v/>
      </c>
      <c r="M288" s="350" t="str">
        <f t="shared" si="92"/>
        <v/>
      </c>
      <c r="N288" s="350" t="str">
        <f t="shared" si="92"/>
        <v/>
      </c>
      <c r="O288" s="350" t="str">
        <f t="shared" si="92"/>
        <v/>
      </c>
      <c r="P288" s="350" t="str">
        <f t="shared" si="92"/>
        <v/>
      </c>
      <c r="Q288" s="350" t="str">
        <f t="shared" si="92"/>
        <v/>
      </c>
      <c r="R288" s="350" t="str">
        <f t="shared" si="92"/>
        <v/>
      </c>
      <c r="S288" s="350" t="str">
        <f t="shared" si="92"/>
        <v/>
      </c>
      <c r="T288" s="350" t="str">
        <f t="shared" si="92"/>
        <v/>
      </c>
      <c r="U288" s="350" t="str">
        <f t="shared" si="92"/>
        <v/>
      </c>
      <c r="V288" s="615"/>
    </row>
    <row r="289" spans="1:22" s="355" customFormat="1" ht="11.1" hidden="1" customHeight="1" x14ac:dyDescent="0.2">
      <c r="A289" s="403" t="s">
        <v>22</v>
      </c>
      <c r="B289" s="348">
        <f>B67</f>
        <v>5.0000000000000017E-2</v>
      </c>
      <c r="C289" s="348">
        <f t="shared" ref="C289:U289" si="93">C67</f>
        <v>0.22000000000000006</v>
      </c>
      <c r="D289" s="348">
        <f t="shared" si="93"/>
        <v>-0.56000000000000028</v>
      </c>
      <c r="E289" s="348">
        <f t="shared" si="93"/>
        <v>-0.61299999999999999</v>
      </c>
      <c r="F289" s="348">
        <f t="shared" si="93"/>
        <v>1.7199999999999993</v>
      </c>
      <c r="G289" s="348">
        <f t="shared" si="93"/>
        <v>3.9516956249999993</v>
      </c>
      <c r="H289" s="348">
        <f t="shared" si="93"/>
        <v>5.94563475</v>
      </c>
      <c r="I289" s="348">
        <f t="shared" si="93"/>
        <v>7.5048149375000008</v>
      </c>
      <c r="J289" s="348">
        <f t="shared" si="93"/>
        <v>8.7655986249999991</v>
      </c>
      <c r="K289" s="348">
        <f t="shared" si="93"/>
        <v>9.4123137500000009</v>
      </c>
      <c r="L289" s="348">
        <f t="shared" si="93"/>
        <v>13.206864062500003</v>
      </c>
      <c r="M289" s="348" t="str">
        <f t="shared" si="93"/>
        <v/>
      </c>
      <c r="N289" s="348" t="str">
        <f t="shared" si="93"/>
        <v/>
      </c>
      <c r="O289" s="348" t="str">
        <f t="shared" si="93"/>
        <v/>
      </c>
      <c r="P289" s="348" t="str">
        <f t="shared" si="93"/>
        <v/>
      </c>
      <c r="Q289" s="348" t="str">
        <f t="shared" si="93"/>
        <v/>
      </c>
      <c r="R289" s="348" t="str">
        <f t="shared" si="93"/>
        <v/>
      </c>
      <c r="S289" s="348" t="str">
        <f t="shared" si="93"/>
        <v/>
      </c>
      <c r="T289" s="348" t="str">
        <f t="shared" si="93"/>
        <v/>
      </c>
      <c r="U289" s="348" t="str">
        <f t="shared" si="93"/>
        <v/>
      </c>
      <c r="V289" s="615"/>
    </row>
    <row r="290" spans="1:22" s="355" customFormat="1" ht="11.1" hidden="1" customHeight="1" x14ac:dyDescent="0.2">
      <c r="A290" s="404"/>
      <c r="B290" s="350" t="str">
        <f>B68</f>
        <v/>
      </c>
      <c r="C290" s="350" t="str">
        <f t="shared" ref="C290:U290" si="94">C68</f>
        <v/>
      </c>
      <c r="D290" s="350" t="str">
        <f t="shared" si="94"/>
        <v/>
      </c>
      <c r="E290" s="350" t="str">
        <f t="shared" si="94"/>
        <v/>
      </c>
      <c r="F290" s="350" t="str">
        <f t="shared" si="94"/>
        <v/>
      </c>
      <c r="G290" s="350" t="str">
        <f t="shared" si="94"/>
        <v/>
      </c>
      <c r="H290" s="350" t="str">
        <f t="shared" si="94"/>
        <v/>
      </c>
      <c r="I290" s="350" t="str">
        <f t="shared" si="94"/>
        <v/>
      </c>
      <c r="J290" s="350" t="str">
        <f t="shared" si="94"/>
        <v/>
      </c>
      <c r="K290" s="350" t="str">
        <f t="shared" si="94"/>
        <v/>
      </c>
      <c r="L290" s="350" t="str">
        <f t="shared" si="94"/>
        <v/>
      </c>
      <c r="M290" s="350" t="str">
        <f t="shared" si="94"/>
        <v/>
      </c>
      <c r="N290" s="350" t="str">
        <f t="shared" si="94"/>
        <v/>
      </c>
      <c r="O290" s="350" t="str">
        <f t="shared" si="94"/>
        <v/>
      </c>
      <c r="P290" s="350" t="str">
        <f t="shared" si="94"/>
        <v/>
      </c>
      <c r="Q290" s="350" t="str">
        <f t="shared" si="94"/>
        <v/>
      </c>
      <c r="R290" s="350" t="str">
        <f t="shared" si="94"/>
        <v/>
      </c>
      <c r="S290" s="350" t="str">
        <f t="shared" si="94"/>
        <v/>
      </c>
      <c r="T290" s="350" t="str">
        <f t="shared" si="94"/>
        <v/>
      </c>
      <c r="U290" s="350" t="str">
        <f t="shared" si="94"/>
        <v/>
      </c>
      <c r="V290" s="615"/>
    </row>
    <row r="291" spans="1:22" s="355" customFormat="1" ht="11.1" hidden="1" customHeight="1" x14ac:dyDescent="0.2">
      <c r="A291" s="354" t="s">
        <v>300</v>
      </c>
      <c r="B291" s="357">
        <f>DSCR!B253</f>
        <v>0</v>
      </c>
      <c r="C291" s="357">
        <f>DSCR!C253</f>
        <v>0</v>
      </c>
      <c r="D291" s="357">
        <f>DSCR!D253</f>
        <v>0</v>
      </c>
      <c r="E291" s="357">
        <f>DSCR!E253</f>
        <v>0</v>
      </c>
      <c r="F291" s="357">
        <f>DSCR!F253</f>
        <v>0</v>
      </c>
      <c r="G291" s="357">
        <f>DSCR!G253</f>
        <v>0</v>
      </c>
      <c r="H291" s="357">
        <f>DSCR!H253</f>
        <v>0</v>
      </c>
      <c r="I291" s="357">
        <f>DSCR!I253</f>
        <v>0</v>
      </c>
      <c r="J291" s="357">
        <f>DSCR!J253</f>
        <v>0</v>
      </c>
      <c r="K291" s="357">
        <f>DSCR!K253</f>
        <v>0</v>
      </c>
      <c r="L291" s="357">
        <f>DSCR!L253</f>
        <v>0</v>
      </c>
      <c r="M291" s="357">
        <f>DSCR!M253</f>
        <v>0</v>
      </c>
      <c r="N291" s="357">
        <f>DSCR!N253</f>
        <v>0</v>
      </c>
      <c r="O291" s="357">
        <f>DSCR!O253</f>
        <v>0</v>
      </c>
      <c r="P291" s="357">
        <f>DSCR!P253</f>
        <v>0</v>
      </c>
      <c r="Q291" s="357">
        <f>DSCR!Q253</f>
        <v>0</v>
      </c>
      <c r="R291" s="357">
        <f>DSCR!R253</f>
        <v>0</v>
      </c>
      <c r="S291" s="357">
        <f>DSCR!S253</f>
        <v>0</v>
      </c>
      <c r="T291" s="357">
        <f>DSCR!T253</f>
        <v>0</v>
      </c>
      <c r="U291" s="357">
        <f>DSCR!U253</f>
        <v>0</v>
      </c>
      <c r="V291" s="615"/>
    </row>
    <row r="292" spans="1:22" s="355" customFormat="1" ht="11.1" hidden="1" customHeight="1" x14ac:dyDescent="0.2">
      <c r="A292" s="356"/>
      <c r="B292" s="357" t="str">
        <f>IF(INPUT!C275="","",CONCATENATE("(",INPUT!C275,")"))</f>
        <v/>
      </c>
      <c r="C292" s="357" t="str">
        <f>IF(INPUT!D275="","",CONCATENATE("(",INPUT!D275,")"))</f>
        <v/>
      </c>
      <c r="D292" s="357" t="str">
        <f>IF(INPUT!E275="","",CONCATENATE("(",INPUT!E275,")"))</f>
        <v/>
      </c>
      <c r="E292" s="357" t="str">
        <f>IF(INPUT!F275="","",CONCATENATE("(",INPUT!F275,")"))</f>
        <v/>
      </c>
      <c r="F292" s="357" t="str">
        <f>IF(INPUT!G275="","",CONCATENATE("(",INPUT!G275,")"))</f>
        <v/>
      </c>
      <c r="G292" s="357" t="str">
        <f>IF(INPUT!H275="","",CONCATENATE("(",INPUT!H275,")"))</f>
        <v/>
      </c>
      <c r="H292" s="357" t="str">
        <f>IF(INPUT!I275="","",CONCATENATE("(",INPUT!I275,")"))</f>
        <v/>
      </c>
      <c r="I292" s="357" t="str">
        <f>IF(INPUT!J275="","",CONCATENATE("(",INPUT!J275,")"))</f>
        <v/>
      </c>
      <c r="J292" s="357" t="str">
        <f>IF(INPUT!K275="","",CONCATENATE("(",INPUT!K275,")"))</f>
        <v/>
      </c>
      <c r="K292" s="357" t="str">
        <f>IF(INPUT!L275="","",CONCATENATE("(",INPUT!L275,")"))</f>
        <v/>
      </c>
      <c r="L292" s="357" t="str">
        <f>IF(INPUT!M275="","",CONCATENATE("(",INPUT!M275,")"))</f>
        <v/>
      </c>
      <c r="M292" s="357" t="str">
        <f>IF(INPUT!N275="","",CONCATENATE("(",INPUT!N275,")"))</f>
        <v/>
      </c>
      <c r="N292" s="357" t="str">
        <f>IF(INPUT!O275="","",CONCATENATE("(",INPUT!O275,")"))</f>
        <v/>
      </c>
      <c r="O292" s="357" t="str">
        <f>IF(INPUT!P275="","",CONCATENATE("(",INPUT!P275,")"))</f>
        <v/>
      </c>
      <c r="P292" s="357" t="str">
        <f>IF(INPUT!Q275="","",CONCATENATE("(",INPUT!Q275,")"))</f>
        <v/>
      </c>
      <c r="Q292" s="357" t="str">
        <f>IF(INPUT!R275="","",CONCATENATE("(",INPUT!R275,")"))</f>
        <v/>
      </c>
      <c r="R292" s="357" t="str">
        <f>IF(INPUT!S275="","",CONCATENATE("(",INPUT!S275,")"))</f>
        <v/>
      </c>
      <c r="S292" s="357" t="str">
        <f>IF(INPUT!T275="","",CONCATENATE("(",INPUT!T275,")"))</f>
        <v/>
      </c>
      <c r="T292" s="357" t="str">
        <f>IF(INPUT!U275="","",CONCATENATE("(",INPUT!U275,")"))</f>
        <v/>
      </c>
      <c r="U292" s="357" t="str">
        <f>IF(INPUT!V275="","",CONCATENATE("(",INPUT!V275,")"))</f>
        <v/>
      </c>
      <c r="V292" s="615"/>
    </row>
    <row r="293" spans="1:22" s="365" customFormat="1" ht="11.1" hidden="1" customHeight="1" x14ac:dyDescent="0.2">
      <c r="A293" s="363" t="s">
        <v>52</v>
      </c>
      <c r="B293" s="364" t="str">
        <f>IF(ISERROR('Oper.St.'!C320/((Liab!C309+Liab!C316+Liab!B309+Liab!B316+Liab!B322+Liab!C322)/2)),"",IF('Oper.St.'!C320/((Liab!C309+Liab!C316+Liab!B309+Liab!B316+Liab!B322+Liab!C322)/2)=0,"",'Oper.St.'!C320/((Liab!C309+Liab!C316+Liab!B309+Liab!B316+Liab!B322+Liab!C322)/2)))</f>
        <v/>
      </c>
      <c r="C293" s="364" t="str">
        <f>IF(ISERROR('Oper.St.'!D320/((Liab!D309+Liab!D316+Liab!C309+Liab!C316+Liab!C322+Liab!D322)/2)),"",IF('Oper.St.'!D320/((Liab!D309+Liab!D316+Liab!C309+Liab!C316+Liab!C322+Liab!D322)/2)=0,"",'Oper.St.'!D320/((Liab!D309+Liab!D316+Liab!C309+Liab!C316+Liab!C322+Liab!D322)/2)))</f>
        <v/>
      </c>
      <c r="D293" s="364" t="str">
        <f>IF(ISERROR('Oper.St.'!E320/((Liab!E309+Liab!E316+Liab!D309+Liab!D316+Liab!D322+Liab!E322)/2)),"",IF('Oper.St.'!E320/((Liab!E309+Liab!E316+Liab!D309+Liab!D316+Liab!D322+Liab!E322)/2)=0,"",'Oper.St.'!E320/((Liab!E309+Liab!E316+Liab!D309+Liab!D316+Liab!D322+Liab!E322)/2)))</f>
        <v/>
      </c>
      <c r="E293" s="364" t="str">
        <f>IF(ISERROR('Oper.St.'!F320/((Liab!F309+Liab!F316+Liab!E309+Liab!E316+Liab!E322+Liab!F322)/2)),"",IF('Oper.St.'!F320/((Liab!F309+Liab!F316+Liab!E309+Liab!E316+Liab!E322+Liab!F322)/2)=0,"",'Oper.St.'!F320/((Liab!F309+Liab!F316+Liab!E309+Liab!E316+Liab!E322+Liab!F322)/2)))</f>
        <v/>
      </c>
      <c r="F293" s="364" t="str">
        <f>IF(ISERROR('Oper.St.'!G320/((Liab!G309+Liab!G316+Liab!F309+Liab!F316+Liab!F322+Liab!G322)/2)),"",IF('Oper.St.'!G320/((Liab!G309+Liab!G316+Liab!F309+Liab!F316+Liab!F322+Liab!G322)/2)=0,"",'Oper.St.'!G320/((Liab!G309+Liab!G316+Liab!F309+Liab!F316+Liab!F322+Liab!G322)/2)))</f>
        <v/>
      </c>
      <c r="G293" s="364" t="str">
        <f>IF(ISERROR('Oper.St.'!H320/((Liab!H309+Liab!H316+Liab!G309+Liab!G316+Liab!G322+Liab!H322)/2)),"",IF('Oper.St.'!H320/((Liab!H309+Liab!H316+Liab!G309+Liab!G316+Liab!G322+Liab!H322)/2)=0,"",'Oper.St.'!H320/((Liab!H309+Liab!H316+Liab!G309+Liab!G316+Liab!G322+Liab!H322)/2)))</f>
        <v/>
      </c>
      <c r="H293" s="364" t="str">
        <f>IF(ISERROR('Oper.St.'!I320/((Liab!I309+Liab!I316+Liab!H309+Liab!H316+Liab!H322+Liab!I322)/2)),"",IF('Oper.St.'!I320/((Liab!I309+Liab!I316+Liab!H309+Liab!H316+Liab!H322+Liab!I322)/2)=0,"",'Oper.St.'!I320/((Liab!I309+Liab!I316+Liab!H309+Liab!H316+Liab!H322+Liab!I322)/2)))</f>
        <v/>
      </c>
      <c r="I293" s="364" t="str">
        <f>IF(ISERROR('Oper.St.'!J320/((Liab!J309+Liab!J316+Liab!I309+Liab!I316+Liab!I322+Liab!J322)/2)),"",IF('Oper.St.'!J320/((Liab!J309+Liab!J316+Liab!I309+Liab!I316+Liab!I322+Liab!J322)/2)=0,"",'Oper.St.'!J320/((Liab!J309+Liab!J316+Liab!I309+Liab!I316+Liab!I322+Liab!J322)/2)))</f>
        <v/>
      </c>
      <c r="J293" s="364" t="str">
        <f>IF(ISERROR('Oper.St.'!K320/((Liab!K309+Liab!K316+Liab!J309+Liab!J316+Liab!J322+Liab!K322)/2)),"",IF('Oper.St.'!K320/((Liab!K309+Liab!K316+Liab!J309+Liab!J316+Liab!J322+Liab!K322)/2)=0,"",'Oper.St.'!K320/((Liab!K309+Liab!K316+Liab!J309+Liab!J316+Liab!J322+Liab!K322)/2)))</f>
        <v/>
      </c>
      <c r="K293" s="364" t="str">
        <f>IF(ISERROR('Oper.St.'!L320/((Liab!L309+Liab!L316+Liab!K309+Liab!K316+Liab!K322+Liab!L322)/2)),"",IF('Oper.St.'!L320/((Liab!L309+Liab!L316+Liab!K309+Liab!K316+Liab!K322+Liab!L322)/2)=0,"",'Oper.St.'!L320/((Liab!L309+Liab!L316+Liab!K309+Liab!K316+Liab!K322+Liab!L322)/2)))</f>
        <v/>
      </c>
      <c r="L293" s="364" t="str">
        <f>IF(ISERROR('Oper.St.'!M320/((Liab!M309+Liab!M316+Liab!L309+Liab!L316+Liab!L322+Liab!M322)/2)),"",IF('Oper.St.'!M320/((Liab!M309+Liab!M316+Liab!L309+Liab!L316+Liab!L322+Liab!M322)/2)=0,"",'Oper.St.'!M320/((Liab!M309+Liab!M316+Liab!L309+Liab!L316+Liab!L322+Liab!M322)/2)))</f>
        <v/>
      </c>
      <c r="M293" s="364" t="str">
        <f>IF(ISERROR('Oper.St.'!N320/((Liab!N309+Liab!N316+Liab!M309+Liab!M316+Liab!M322+Liab!N322)/2)),"",IF('Oper.St.'!N320/((Liab!N309+Liab!N316+Liab!M309+Liab!M316+Liab!M322+Liab!N322)/2)=0,"",'Oper.St.'!N320/((Liab!N309+Liab!N316+Liab!M309+Liab!M316+Liab!M322+Liab!N322)/2)))</f>
        <v/>
      </c>
      <c r="N293" s="364" t="str">
        <f>IF(ISERROR('Oper.St.'!O320/((Liab!O309+Liab!O316+Liab!N309+Liab!N316+Liab!N322+Liab!O322)/2)),"",IF('Oper.St.'!O320/((Liab!O309+Liab!O316+Liab!N309+Liab!N316+Liab!N322+Liab!O322)/2)=0,"",'Oper.St.'!O320/((Liab!O309+Liab!O316+Liab!N309+Liab!N316+Liab!N322+Liab!O322)/2)))</f>
        <v/>
      </c>
      <c r="O293" s="364" t="str">
        <f>IF(ISERROR('Oper.St.'!P320/((Liab!P309+Liab!P316+Liab!O309+Liab!O316+Liab!O322+Liab!P322)/2)),"",IF('Oper.St.'!P320/((Liab!P309+Liab!P316+Liab!O309+Liab!O316+Liab!O322+Liab!P322)/2)=0,"",'Oper.St.'!P320/((Liab!P309+Liab!P316+Liab!O309+Liab!O316+Liab!O322+Liab!P322)/2)))</f>
        <v/>
      </c>
      <c r="P293" s="364" t="str">
        <f>IF(ISERROR('Oper.St.'!Q320/((Liab!Q309+Liab!Q316+Liab!P309+Liab!P316+Liab!P322+Liab!Q322)/2)),"",IF('Oper.St.'!Q320/((Liab!Q309+Liab!Q316+Liab!P309+Liab!P316+Liab!P322+Liab!Q322)/2)=0,"",'Oper.St.'!Q320/((Liab!Q309+Liab!Q316+Liab!P309+Liab!P316+Liab!P322+Liab!Q322)/2)))</f>
        <v/>
      </c>
      <c r="Q293" s="364" t="str">
        <f>IF(ISERROR('Oper.St.'!R320/((Liab!R309+Liab!R316+Liab!Q309+Liab!Q316+Liab!Q322+Liab!R322)/2)),"",IF('Oper.St.'!R320/((Liab!R309+Liab!R316+Liab!Q309+Liab!Q316+Liab!Q322+Liab!R322)/2)=0,"",'Oper.St.'!R320/((Liab!R309+Liab!R316+Liab!Q309+Liab!Q316+Liab!Q322+Liab!R322)/2)))</f>
        <v/>
      </c>
      <c r="R293" s="364" t="str">
        <f>IF(ISERROR('Oper.St.'!S320/((Liab!S309+Liab!S316+Liab!R309+Liab!R316+Liab!R322+Liab!S322)/2)),"",IF('Oper.St.'!S320/((Liab!S309+Liab!S316+Liab!R309+Liab!R316+Liab!R322+Liab!S322)/2)=0,"",'Oper.St.'!S320/((Liab!S309+Liab!S316+Liab!R309+Liab!R316+Liab!R322+Liab!S322)/2)))</f>
        <v/>
      </c>
      <c r="S293" s="364" t="str">
        <f>IF(ISERROR('Oper.St.'!T320/((Liab!T309+Liab!T316+Liab!S309+Liab!S316+Liab!S322+Liab!T322)/2)),"",IF('Oper.St.'!T320/((Liab!T309+Liab!T316+Liab!S309+Liab!S316+Liab!S322+Liab!T322)/2)=0,"",'Oper.St.'!T320/((Liab!T309+Liab!T316+Liab!S309+Liab!S316+Liab!S322+Liab!T322)/2)))</f>
        <v/>
      </c>
      <c r="T293" s="364" t="str">
        <f>IF(ISERROR('Oper.St.'!U320/((Liab!U309+Liab!U316+Liab!T309+Liab!T316+Liab!T322+Liab!U322)/2)),"",IF('Oper.St.'!U320/((Liab!U309+Liab!U316+Liab!T309+Liab!T316+Liab!T322+Liab!U322)/2)=0,"",'Oper.St.'!U320/((Liab!U309+Liab!U316+Liab!T309+Liab!T316+Liab!T322+Liab!U322)/2)))</f>
        <v/>
      </c>
      <c r="U293" s="364" t="str">
        <f>IF(ISERROR('Oper.St.'!V320/((Liab!V309+Liab!V316+Liab!U309+Liab!U316+Liab!U322+Liab!V322)/2)),"",IF('Oper.St.'!V320/((Liab!V309+Liab!V316+Liab!U309+Liab!U316+Liab!U322+Liab!V322)/2)=0,"",'Oper.St.'!V320/((Liab!V309+Liab!V316+Liab!U309+Liab!U316+Liab!U322+Liab!V322)/2)))</f>
        <v/>
      </c>
      <c r="V293" s="617"/>
    </row>
    <row r="294" spans="1:22" s="361" customFormat="1" ht="11.1" hidden="1" customHeight="1" x14ac:dyDescent="0.2">
      <c r="A294" s="366"/>
      <c r="B294" s="350" t="str">
        <f>IF(INPUT!C276="","",CONCATENATE("(",INPUT!C276,"%",")"))</f>
        <v/>
      </c>
      <c r="C294" s="350" t="str">
        <f>IF(INPUT!D276="","",CONCATENATE("(",INPUT!D276,"%",")"))</f>
        <v/>
      </c>
      <c r="D294" s="350" t="str">
        <f>IF(INPUT!E276="","",CONCATENATE("(",INPUT!E276,"%",")"))</f>
        <v/>
      </c>
      <c r="E294" s="350" t="str">
        <f>IF(INPUT!F276="","",CONCATENATE("(",INPUT!F276,"%",")"))</f>
        <v/>
      </c>
      <c r="F294" s="350" t="str">
        <f>IF(INPUT!G276="","",CONCATENATE("(",INPUT!G276,"%",")"))</f>
        <v/>
      </c>
      <c r="G294" s="350" t="str">
        <f>IF(INPUT!H276="","",CONCATENATE("(",INPUT!H276,"%",")"))</f>
        <v/>
      </c>
      <c r="H294" s="350" t="str">
        <f>IF(INPUT!I276="","",CONCATENATE("(",INPUT!I276,"%",")"))</f>
        <v/>
      </c>
      <c r="I294" s="350" t="str">
        <f>IF(INPUT!J276="","",CONCATENATE("(",INPUT!J276,"%",")"))</f>
        <v/>
      </c>
      <c r="J294" s="350" t="str">
        <f>IF(INPUT!K276="","",CONCATENATE("(",INPUT!K276,"%",")"))</f>
        <v/>
      </c>
      <c r="K294" s="350" t="str">
        <f>IF(INPUT!L276="","",CONCATENATE("(",INPUT!L276,"%",")"))</f>
        <v/>
      </c>
      <c r="L294" s="350" t="str">
        <f>IF(INPUT!M276="","",CONCATENATE("(",INPUT!M276,"%",")"))</f>
        <v/>
      </c>
      <c r="M294" s="350" t="str">
        <f>IF(INPUT!N276="","",CONCATENATE("(",INPUT!N276,"%",")"))</f>
        <v/>
      </c>
      <c r="N294" s="350" t="str">
        <f>IF(INPUT!O276="","",CONCATENATE("(",INPUT!O276,"%",")"))</f>
        <v/>
      </c>
      <c r="O294" s="350" t="str">
        <f>IF(INPUT!P276="","",CONCATENATE("(",INPUT!P276,"%",")"))</f>
        <v/>
      </c>
      <c r="P294" s="350" t="str">
        <f>IF(INPUT!Q276="","",CONCATENATE("(",INPUT!Q276,"%",")"))</f>
        <v/>
      </c>
      <c r="Q294" s="350" t="str">
        <f>IF(INPUT!R276="","",CONCATENATE("(",INPUT!R276,"%",")"))</f>
        <v/>
      </c>
      <c r="R294" s="350" t="str">
        <f>IF(INPUT!S276="","",CONCATENATE("(",INPUT!S276,"%",")"))</f>
        <v/>
      </c>
      <c r="S294" s="350" t="str">
        <f>IF(INPUT!T276="","",CONCATENATE("(",INPUT!T276,"%",")"))</f>
        <v/>
      </c>
      <c r="T294" s="350" t="str">
        <f>IF(INPUT!U276="","",CONCATENATE("(",INPUT!U276,"%",")"))</f>
        <v/>
      </c>
      <c r="U294" s="350" t="str">
        <f>IF(INPUT!V276="","",CONCATENATE("(",INPUT!V276,"%",")"))</f>
        <v/>
      </c>
      <c r="V294" s="616"/>
    </row>
    <row r="295" spans="1:22" ht="15.75" hidden="1" customHeight="1" x14ac:dyDescent="0.2">
      <c r="A295" s="301" t="s">
        <v>791</v>
      </c>
      <c r="B295" s="255"/>
      <c r="C295" s="255"/>
      <c r="D295" s="255"/>
      <c r="E295" s="255"/>
      <c r="F295" s="255"/>
      <c r="G295" s="255"/>
      <c r="H295" s="255"/>
      <c r="I295" s="255"/>
      <c r="J295" s="255"/>
      <c r="K295" s="255"/>
      <c r="L295" s="255"/>
      <c r="M295" s="255"/>
      <c r="N295" s="255"/>
      <c r="O295" s="255"/>
      <c r="P295" s="255"/>
      <c r="Q295" s="255"/>
      <c r="R295" s="255"/>
      <c r="S295" s="255"/>
      <c r="T295" s="255"/>
      <c r="U295" s="255"/>
      <c r="V295" s="612"/>
    </row>
    <row r="296" spans="1:22" ht="12.75" hidden="1" customHeight="1" x14ac:dyDescent="0.2">
      <c r="A296" s="301" t="s">
        <v>892</v>
      </c>
      <c r="B296" s="255"/>
      <c r="C296" s="255"/>
      <c r="D296" s="255"/>
      <c r="E296" s="255"/>
      <c r="F296" s="255"/>
      <c r="G296" s="255"/>
      <c r="H296" s="255"/>
      <c r="I296" s="255"/>
      <c r="J296" s="255"/>
      <c r="K296" s="255"/>
      <c r="L296" s="255"/>
      <c r="M296" s="255"/>
      <c r="N296" s="255"/>
      <c r="O296" s="255"/>
      <c r="P296" s="255"/>
      <c r="Q296" s="255"/>
      <c r="R296" s="255"/>
      <c r="S296" s="255"/>
      <c r="T296" s="255"/>
      <c r="U296" s="255"/>
      <c r="V296" s="612"/>
    </row>
    <row r="297" spans="1:22" s="303" customFormat="1" ht="17.25" hidden="1" customHeight="1" x14ac:dyDescent="0.2">
      <c r="A297" s="302" t="s">
        <v>665</v>
      </c>
      <c r="B297" s="271">
        <f t="shared" ref="B297:O297" si="95">IF(ISERROR(B267/B229),"",IF(B267/B229=0,"",B267/B229))</f>
        <v>0.16249999999999995</v>
      </c>
      <c r="C297" s="271">
        <f t="shared" si="95"/>
        <v>0.14285714285714285</v>
      </c>
      <c r="D297" s="271">
        <f t="shared" si="95"/>
        <v>0.20454545454545461</v>
      </c>
      <c r="E297" s="271">
        <f t="shared" si="95"/>
        <v>0.19999999999999996</v>
      </c>
      <c r="F297" s="271">
        <f t="shared" si="95"/>
        <v>0.16400000000000003</v>
      </c>
      <c r="G297" s="271">
        <f t="shared" si="95"/>
        <v>0.15577596266044347</v>
      </c>
      <c r="H297" s="271">
        <f t="shared" si="95"/>
        <v>0.13483424047501244</v>
      </c>
      <c r="I297" s="271">
        <f t="shared" si="95"/>
        <v>0.12066228169652984</v>
      </c>
      <c r="J297" s="271">
        <f t="shared" si="95"/>
        <v>0.10800667222685559</v>
      </c>
      <c r="K297" s="271">
        <f t="shared" si="95"/>
        <v>9.802037286181052E-2</v>
      </c>
      <c r="L297" s="271">
        <f t="shared" si="95"/>
        <v>9.199288256227757E-2</v>
      </c>
      <c r="M297" s="271" t="str">
        <f t="shared" si="95"/>
        <v/>
      </c>
      <c r="N297" s="271" t="str">
        <f t="shared" si="95"/>
        <v/>
      </c>
      <c r="O297" s="271" t="str">
        <f t="shared" si="95"/>
        <v/>
      </c>
      <c r="P297" s="271" t="str">
        <f t="shared" ref="P297:U297" si="96">IF(ISERROR(P267/P229),"",IF(P267/P229=0,"",P267/P229))</f>
        <v/>
      </c>
      <c r="Q297" s="271" t="str">
        <f t="shared" si="96"/>
        <v/>
      </c>
      <c r="R297" s="271" t="str">
        <f t="shared" si="96"/>
        <v/>
      </c>
      <c r="S297" s="271" t="str">
        <f t="shared" si="96"/>
        <v/>
      </c>
      <c r="T297" s="271" t="str">
        <f t="shared" si="96"/>
        <v/>
      </c>
      <c r="U297" s="271" t="str">
        <f t="shared" si="96"/>
        <v/>
      </c>
      <c r="V297" s="618"/>
    </row>
    <row r="298" spans="1:22" ht="23.25" hidden="1" customHeight="1" x14ac:dyDescent="0.25">
      <c r="A298" s="259" t="s">
        <v>457</v>
      </c>
      <c r="B298" s="255"/>
      <c r="C298" s="255"/>
      <c r="D298" s="255"/>
      <c r="E298" s="255"/>
      <c r="F298" s="255"/>
      <c r="G298" s="255"/>
      <c r="H298" s="255"/>
      <c r="I298" s="255"/>
      <c r="J298" s="255"/>
      <c r="K298" s="255"/>
      <c r="L298" s="255"/>
      <c r="M298" s="255"/>
      <c r="N298" s="255"/>
      <c r="O298" s="255"/>
      <c r="P298" s="255"/>
      <c r="Q298" s="255"/>
      <c r="R298" s="255"/>
      <c r="S298" s="255"/>
      <c r="T298" s="255"/>
      <c r="U298" s="255"/>
      <c r="V298" s="612"/>
    </row>
    <row r="299" spans="1:22" s="297" customFormat="1" ht="12.75" hidden="1" customHeight="1" x14ac:dyDescent="0.25">
      <c r="A299" s="260" t="s">
        <v>392</v>
      </c>
      <c r="B299" s="261">
        <f>B225</f>
        <v>2020</v>
      </c>
      <c r="C299" s="261">
        <f t="shared" ref="C299:O299" si="97">C225</f>
        <v>2021</v>
      </c>
      <c r="D299" s="261">
        <f t="shared" si="97"/>
        <v>2022</v>
      </c>
      <c r="E299" s="261">
        <f t="shared" si="97"/>
        <v>2023</v>
      </c>
      <c r="F299" s="261">
        <f t="shared" si="97"/>
        <v>2024</v>
      </c>
      <c r="G299" s="261">
        <f t="shared" si="97"/>
        <v>2025</v>
      </c>
      <c r="H299" s="261">
        <f t="shared" si="97"/>
        <v>2026</v>
      </c>
      <c r="I299" s="261">
        <f t="shared" si="97"/>
        <v>2027</v>
      </c>
      <c r="J299" s="261">
        <f t="shared" si="97"/>
        <v>2028</v>
      </c>
      <c r="K299" s="261">
        <f t="shared" si="97"/>
        <v>2029</v>
      </c>
      <c r="L299" s="261">
        <f t="shared" si="97"/>
        <v>2030</v>
      </c>
      <c r="M299" s="261">
        <f t="shared" si="97"/>
        <v>2031</v>
      </c>
      <c r="N299" s="261">
        <f t="shared" si="97"/>
        <v>2032</v>
      </c>
      <c r="O299" s="261">
        <f t="shared" si="97"/>
        <v>2033</v>
      </c>
      <c r="P299" s="261">
        <f t="shared" ref="P299:U299" si="98">P225</f>
        <v>2034</v>
      </c>
      <c r="Q299" s="261">
        <f t="shared" si="98"/>
        <v>2035</v>
      </c>
      <c r="R299" s="261">
        <f t="shared" si="98"/>
        <v>2036</v>
      </c>
      <c r="S299" s="261">
        <f t="shared" si="98"/>
        <v>2037</v>
      </c>
      <c r="T299" s="261">
        <f t="shared" si="98"/>
        <v>2038</v>
      </c>
      <c r="U299" s="261">
        <f t="shared" si="98"/>
        <v>2039</v>
      </c>
      <c r="V299" s="613"/>
    </row>
    <row r="300" spans="1:22" s="297" customFormat="1" ht="12.75" hidden="1" customHeight="1" x14ac:dyDescent="0.25">
      <c r="A300" s="260"/>
      <c r="B300" s="261" t="str">
        <f>B226</f>
        <v>AUD.</v>
      </c>
      <c r="C300" s="261" t="str">
        <f t="shared" ref="C300:O300" si="99">C226</f>
        <v>AUD.</v>
      </c>
      <c r="D300" s="261" t="str">
        <f t="shared" si="99"/>
        <v>AUD.</v>
      </c>
      <c r="E300" s="261" t="str">
        <f t="shared" si="99"/>
        <v>EST.</v>
      </c>
      <c r="F300" s="261" t="str">
        <f t="shared" si="99"/>
        <v>PROJ.</v>
      </c>
      <c r="G300" s="261" t="str">
        <f t="shared" si="99"/>
        <v>PROJ.</v>
      </c>
      <c r="H300" s="261" t="str">
        <f t="shared" si="99"/>
        <v>PROJ.</v>
      </c>
      <c r="I300" s="261" t="str">
        <f t="shared" si="99"/>
        <v>PROJ.</v>
      </c>
      <c r="J300" s="261" t="str">
        <f t="shared" si="99"/>
        <v>PROJ.</v>
      </c>
      <c r="K300" s="261" t="str">
        <f t="shared" si="99"/>
        <v>PROJ.</v>
      </c>
      <c r="L300" s="261" t="str">
        <f t="shared" si="99"/>
        <v>PROJ.</v>
      </c>
      <c r="M300" s="261" t="str">
        <f t="shared" si="99"/>
        <v>PROJ.</v>
      </c>
      <c r="N300" s="261" t="str">
        <f t="shared" si="99"/>
        <v>PROJ.</v>
      </c>
      <c r="O300" s="261" t="str">
        <f t="shared" si="99"/>
        <v>PROJ.</v>
      </c>
      <c r="P300" s="261" t="str">
        <f t="shared" ref="P300:U300" si="100">P226</f>
        <v>PROJ.</v>
      </c>
      <c r="Q300" s="261" t="str">
        <f t="shared" si="100"/>
        <v>PROJ.</v>
      </c>
      <c r="R300" s="261" t="str">
        <f t="shared" si="100"/>
        <v>PROJ.</v>
      </c>
      <c r="S300" s="261" t="str">
        <f t="shared" si="100"/>
        <v>PROJ.</v>
      </c>
      <c r="T300" s="261" t="str">
        <f t="shared" si="100"/>
        <v>PROJ.</v>
      </c>
      <c r="U300" s="261" t="str">
        <f t="shared" si="100"/>
        <v>PROJ.</v>
      </c>
      <c r="V300" s="613"/>
    </row>
    <row r="301" spans="1:22" s="347" customFormat="1" ht="15.75" hidden="1" customHeight="1" x14ac:dyDescent="0.2">
      <c r="A301" s="345" t="s">
        <v>864</v>
      </c>
      <c r="B301" s="346">
        <v>0</v>
      </c>
      <c r="C301" s="343">
        <f>IF(ISERROR(C263-'Oper.St.'!D325+INPUT!D245+INPUT!D242-'Oper.St.'!D309),"",IF(C263-'Oper.St.'!D325+INPUT!D245+INPUT!D242-'Oper.St.'!D309=0,"",C263-'Oper.St.'!D325+INPUT!D245+INPUT!D242-'Oper.St.'!D309))</f>
        <v>0.11</v>
      </c>
      <c r="D301" s="343">
        <f>IF(ISERROR(D263-'Oper.St.'!E325+INPUT!E245+INPUT!E242-'Oper.St.'!E309),"",IF(D263-'Oper.St.'!E325+INPUT!E245+INPUT!E242-'Oper.St.'!E309=0,"",D263-'Oper.St.'!E325+INPUT!E245+INPUT!E242-'Oper.St.'!E309))</f>
        <v>0.2900000000000002</v>
      </c>
      <c r="E301" s="343">
        <f>IF(ISERROR(E263-'Oper.St.'!F325+INPUT!F245+INPUT!F242-'Oper.St.'!F309),"",IF(E263-'Oper.St.'!F325+INPUT!F245+INPUT!F242-'Oper.St.'!F309=0,"",E263-'Oper.St.'!F325+INPUT!F245+INPUT!F242-'Oper.St.'!F309))</f>
        <v>0.23699999999999988</v>
      </c>
      <c r="F301" s="343">
        <f>IF(ISERROR(F263-'Oper.St.'!G325+INPUT!G245+INPUT!G242-'Oper.St.'!G309),"",IF(F263-'Oper.St.'!G325+INPUT!G245+INPUT!G242-'Oper.St.'!G309=0,"",F263-'Oper.St.'!G325+INPUT!G245+INPUT!G242-'Oper.St.'!G309))</f>
        <v>2.1300000000000003</v>
      </c>
      <c r="G301" s="343">
        <f>IF(ISERROR(G263-'Oper.St.'!H325+INPUT!H245+INPUT!H242-'Oper.St.'!H309),"",IF(G263-'Oper.St.'!H325+INPUT!H245+INPUT!H242-'Oper.St.'!H309=0,"",G263-'Oper.St.'!H325+INPUT!H245+INPUT!H242-'Oper.St.'!H309))</f>
        <v>3.6775075000000017</v>
      </c>
      <c r="H301" s="343">
        <f>IF(ISERROR(H263-'Oper.St.'!I325+INPUT!I245+INPUT!I242-'Oper.St.'!I309),"",IF(H263-'Oper.St.'!I325+INPUT!I245+INPUT!I242-'Oper.St.'!I309=0,"",H263-'Oper.St.'!I325+INPUT!I245+INPUT!I242-'Oper.St.'!I309))</f>
        <v>3.7874090000000011</v>
      </c>
      <c r="I301" s="343">
        <f>IF(ISERROR(I263-'Oper.St.'!J325+INPUT!J245+INPUT!J242-'Oper.St.'!J309),"",IF(I263-'Oper.St.'!J325+INPUT!J245+INPUT!J242-'Oper.St.'!J309=0,"",I263-'Oper.St.'!J325+INPUT!J245+INPUT!J242-'Oper.St.'!J309))</f>
        <v>3.7017272499999998</v>
      </c>
      <c r="J301" s="343">
        <f>IF(ISERROR(J263-'Oper.St.'!K325+INPUT!K245+INPUT!K242-'Oper.St.'!K309),"",IF(J263-'Oper.St.'!K325+INPUT!K245+INPUT!K242-'Oper.St.'!K309=0,"",J263-'Oper.St.'!K325+INPUT!K245+INPUT!K242-'Oper.St.'!K309))</f>
        <v>3.6410794999999956</v>
      </c>
      <c r="K301" s="343">
        <f>IF(ISERROR(K263-'Oper.St.'!L325+INPUT!L245+INPUT!L242-'Oper.St.'!L309),"",IF(K263-'Oper.St.'!L325+INPUT!L245+INPUT!L242-'Oper.St.'!L309=0,"",K263-'Oper.St.'!L325+INPUT!L245+INPUT!L242-'Oper.St.'!L309))</f>
        <v>3.6484050000000003</v>
      </c>
      <c r="L301" s="343">
        <f>IF(ISERROR(L263-'Oper.St.'!M325+INPUT!M245+INPUT!M242-'Oper.St.'!M309),"",IF(L263-'Oper.St.'!M325+INPUT!M245+INPUT!M242-'Oper.St.'!M309=0,"",L263-'Oper.St.'!M325+INPUT!M245+INPUT!M242-'Oper.St.'!M309))</f>
        <v>3.7892687499999989</v>
      </c>
      <c r="M301" s="343" t="str">
        <f>IF(ISERROR(M263-'Oper.St.'!N325+INPUT!N245+INPUT!N242-'Oper.St.'!N309),"",IF(M263-'Oper.St.'!N325+INPUT!N245+INPUT!N242-'Oper.St.'!N309=0,"",M263-'Oper.St.'!N325+INPUT!N245+INPUT!N242-'Oper.St.'!N309))</f>
        <v/>
      </c>
      <c r="N301" s="343" t="str">
        <f>IF(ISERROR(N263-'Oper.St.'!O325+INPUT!O245+INPUT!O242-'Oper.St.'!O309),"",IF(N263-'Oper.St.'!O325+INPUT!O245+INPUT!O242-'Oper.St.'!O309=0,"",N263-'Oper.St.'!O325+INPUT!O245+INPUT!O242-'Oper.St.'!O309))</f>
        <v/>
      </c>
      <c r="O301" s="343" t="str">
        <f>IF(ISERROR(O263-'Oper.St.'!P325+INPUT!P245+INPUT!P242-'Oper.St.'!P309),"",IF(O263-'Oper.St.'!P325+INPUT!P245+INPUT!P242-'Oper.St.'!P309=0,"",O263-'Oper.St.'!P325+INPUT!P245+INPUT!P242-'Oper.St.'!P309))</f>
        <v/>
      </c>
      <c r="P301" s="343" t="str">
        <f>IF(ISERROR(P263-'Oper.St.'!Q325+INPUT!Q245+INPUT!Q242-'Oper.St.'!Q309),"",IF(P263-'Oper.St.'!Q325+INPUT!Q245+INPUT!Q242-'Oper.St.'!Q309=0,"",P263-'Oper.St.'!Q325+INPUT!Q245+INPUT!Q242-'Oper.St.'!Q309))</f>
        <v/>
      </c>
      <c r="Q301" s="343" t="str">
        <f>IF(ISERROR(Q263-'Oper.St.'!R325+INPUT!R245+INPUT!R242-'Oper.St.'!R309),"",IF(Q263-'Oper.St.'!R325+INPUT!R245+INPUT!R242-'Oper.St.'!R309=0,"",Q263-'Oper.St.'!R325+INPUT!R245+INPUT!R242-'Oper.St.'!R309))</f>
        <v/>
      </c>
      <c r="R301" s="343" t="str">
        <f>IF(ISERROR(R263-'Oper.St.'!S325+INPUT!S245+INPUT!S242-'Oper.St.'!S309),"",IF(R263-'Oper.St.'!S325+INPUT!S245+INPUT!S242-'Oper.St.'!S309=0,"",R263-'Oper.St.'!S325+INPUT!S245+INPUT!S242-'Oper.St.'!S309))</f>
        <v/>
      </c>
      <c r="S301" s="343" t="str">
        <f>IF(ISERROR(S263-'Oper.St.'!T325+INPUT!T245+INPUT!T242-'Oper.St.'!T309),"",IF(S263-'Oper.St.'!T325+INPUT!T245+INPUT!T242-'Oper.St.'!T309=0,"",S263-'Oper.St.'!T325+INPUT!T245+INPUT!T242-'Oper.St.'!T309))</f>
        <v/>
      </c>
      <c r="T301" s="343" t="str">
        <f>IF(ISERROR(T263-'Oper.St.'!U325+INPUT!U245+INPUT!U242-'Oper.St.'!U309),"",IF(T263-'Oper.St.'!U325+INPUT!U245+INPUT!U242-'Oper.St.'!U309=0,"",T263-'Oper.St.'!U325+INPUT!U245+INPUT!U242-'Oper.St.'!U309))</f>
        <v/>
      </c>
      <c r="U301" s="343" t="str">
        <f>IF(ISERROR(U263-'Oper.St.'!V325+INPUT!V245+INPUT!V242-'Oper.St.'!V309),"",IF(U263-'Oper.St.'!V325+INPUT!V245+INPUT!V242-'Oper.St.'!V309=0,"",U263-'Oper.St.'!V325+INPUT!V245+INPUT!V242-'Oper.St.'!V309))</f>
        <v/>
      </c>
      <c r="V301" s="619"/>
    </row>
    <row r="302" spans="1:22" ht="14.25" hidden="1" customHeight="1" x14ac:dyDescent="0.2">
      <c r="A302" s="287" t="s">
        <v>865</v>
      </c>
      <c r="B302" s="280">
        <v>0</v>
      </c>
      <c r="C302" s="256" t="str">
        <f>IF(ISERROR(Liab!D309+Liab!D311+Liab!D313+Liab!D316+SUM(Liab!D318:D320)+Liab!D322-Liab!C309-Liab!C311-Liab!C313-Liab!C316-SUM(Liab!C318:C320)-Liab!C322),"",IF(Liab!D309+Liab!D311+Liab!D313+Liab!D316+SUM(Liab!D318:D320)+Liab!D322-Liab!C309-Liab!C311-Liab!C313-Liab!C316-SUM(Liab!C318:C320)-Liab!C322=0,"",Liab!D309+Liab!D311+Liab!D313+Liab!D316+SUM(Liab!D318:D320)+Liab!D322-Liab!C309-Liab!C311-Liab!C313-Liab!C316-SUM(Liab!C318:C320)-Liab!C322))</f>
        <v/>
      </c>
      <c r="D302" s="256" t="str">
        <f>IF(ISERROR(Liab!E309+Liab!E311+Liab!E313+Liab!E316+SUM(Liab!E318:E320)+Liab!E322-Liab!D309-Liab!D311-Liab!D313-Liab!D316-SUM(Liab!D318:D320)-Liab!D322),"",IF(Liab!E309+Liab!E311+Liab!E313+Liab!E316+SUM(Liab!E318:E320)+Liab!E322-Liab!D309-Liab!D311-Liab!D313-Liab!D316-SUM(Liab!D318:D320)-Liab!D322=0,"",Liab!E309+Liab!E311+Liab!E313+Liab!E316+SUM(Liab!E318:E320)+Liab!E322-Liab!D309-Liab!D311-Liab!D313-Liab!D316-SUM(Liab!D318:D320)-Liab!D322))</f>
        <v/>
      </c>
      <c r="E302" s="256" t="str">
        <f>IF(ISERROR(Liab!F309+Liab!F311+Liab!F313+Liab!F316+SUM(Liab!F318:F320)+Liab!F322-Liab!E309-Liab!E311-Liab!E313-Liab!E316-SUM(Liab!E318:E320)-Liab!E322),"",IF(Liab!F309+Liab!F311+Liab!F313+Liab!F316+SUM(Liab!F318:F320)+Liab!F322-Liab!E309-Liab!E311-Liab!E313-Liab!E316-SUM(Liab!E318:E320)-Liab!E322=0,"",Liab!F309+Liab!F311+Liab!F313+Liab!F316+SUM(Liab!F318:F320)+Liab!F322-Liab!E309-Liab!E311-Liab!E313-Liab!E316-SUM(Liab!E318:E320)-Liab!E322))</f>
        <v/>
      </c>
      <c r="F302" s="256" t="str">
        <f>IF(ISERROR(Liab!G309+Liab!G311+Liab!G313+Liab!G316+SUM(Liab!G318:G320)+Liab!G322-Liab!F309-Liab!F311-Liab!F313-Liab!F316-SUM(Liab!F318:F320)-Liab!F322),"",IF(Liab!G309+Liab!G311+Liab!G313+Liab!G316+SUM(Liab!G318:G320)+Liab!G322-Liab!F309-Liab!F311-Liab!F313-Liab!F316-SUM(Liab!F318:F320)-Liab!F322=0,"",Liab!G309+Liab!G311+Liab!G313+Liab!G316+SUM(Liab!G318:G320)+Liab!G322-Liab!F309-Liab!F311-Liab!F313-Liab!F316-SUM(Liab!F318:F320)-Liab!F322))</f>
        <v/>
      </c>
      <c r="G302" s="256" t="str">
        <f>IF(ISERROR(Liab!H309+Liab!H311+Liab!H313+Liab!H316+SUM(Liab!H318:H320)+Liab!H322-Liab!G309-Liab!G311-Liab!G313-Liab!G316-SUM(Liab!G318:G320)-Liab!G322),"",IF(Liab!H309+Liab!H311+Liab!H313+Liab!H316+SUM(Liab!H318:H320)+Liab!H322-Liab!G309-Liab!G311-Liab!G313-Liab!G316-SUM(Liab!G318:G320)-Liab!G322=0,"",Liab!H309+Liab!H311+Liab!H313+Liab!H316+SUM(Liab!H318:H320)+Liab!H322-Liab!G309-Liab!G311-Liab!G313-Liab!G316-SUM(Liab!G318:G320)-Liab!G322))</f>
        <v/>
      </c>
      <c r="H302" s="256" t="str">
        <f>IF(ISERROR(Liab!I309+Liab!I311+Liab!I313+Liab!I316+SUM(Liab!I318:I320)+Liab!I322-Liab!H309-Liab!H311-Liab!H313-Liab!H316-SUM(Liab!H318:H320)-Liab!H322),"",IF(Liab!I309+Liab!I311+Liab!I313+Liab!I316+SUM(Liab!I318:I320)+Liab!I322-Liab!H309-Liab!H311-Liab!H313-Liab!H316-SUM(Liab!H318:H320)-Liab!H322=0,"",Liab!I309+Liab!I311+Liab!I313+Liab!I316+SUM(Liab!I318:I320)+Liab!I322-Liab!H309-Liab!H311-Liab!H313-Liab!H316-SUM(Liab!H318:H320)-Liab!H322))</f>
        <v/>
      </c>
      <c r="I302" s="256" t="str">
        <f>IF(ISERROR(Liab!J309+Liab!J311+Liab!J313+Liab!J316+SUM(Liab!J318:J320)+Liab!J322-Liab!I309-Liab!I311-Liab!I313-Liab!I316-SUM(Liab!I318:I320)-Liab!I322),"",IF(Liab!J309+Liab!J311+Liab!J313+Liab!J316+SUM(Liab!J318:J320)+Liab!J322-Liab!I309-Liab!I311-Liab!I313-Liab!I316-SUM(Liab!I318:I320)-Liab!I322=0,"",Liab!J309+Liab!J311+Liab!J313+Liab!J316+SUM(Liab!J318:J320)+Liab!J322-Liab!I309-Liab!I311-Liab!I313-Liab!I316-SUM(Liab!I318:I320)-Liab!I322))</f>
        <v/>
      </c>
      <c r="J302" s="256" t="str">
        <f>IF(ISERROR(Liab!K309+Liab!K311+Liab!K313+Liab!K316+SUM(Liab!K318:K320)+Liab!K322-Liab!J309-Liab!J311-Liab!J313-Liab!J316-SUM(Liab!J318:J320)-Liab!J322),"",IF(Liab!K309+Liab!K311+Liab!K313+Liab!K316+SUM(Liab!K318:K320)+Liab!K322-Liab!J309-Liab!J311-Liab!J313-Liab!J316-SUM(Liab!J318:J320)-Liab!J322=0,"",Liab!K309+Liab!K311+Liab!K313+Liab!K316+SUM(Liab!K318:K320)+Liab!K322-Liab!J309-Liab!J311-Liab!J313-Liab!J316-SUM(Liab!J318:J320)-Liab!J322))</f>
        <v/>
      </c>
      <c r="K302" s="256" t="str">
        <f>IF(ISERROR(Liab!L309+Liab!L311+Liab!L313+Liab!L316+SUM(Liab!L318:L320)+Liab!L322-Liab!K309-Liab!K311-Liab!K313-Liab!K316-SUM(Liab!K318:K320)-Liab!K322),"",IF(Liab!L309+Liab!L311+Liab!L313+Liab!L316+SUM(Liab!L318:L320)+Liab!L322-Liab!K309-Liab!K311-Liab!K313-Liab!K316-SUM(Liab!K318:K320)-Liab!K322=0,"",Liab!L309+Liab!L311+Liab!L313+Liab!L316+SUM(Liab!L318:L320)+Liab!L322-Liab!K309-Liab!K311-Liab!K313-Liab!K316-SUM(Liab!K318:K320)-Liab!K322))</f>
        <v/>
      </c>
      <c r="L302" s="256" t="str">
        <f>IF(ISERROR(Liab!M309+Liab!M311+Liab!M313+Liab!M316+SUM(Liab!M318:M320)+Liab!M322-Liab!L309-Liab!L311-Liab!L313-Liab!L316-SUM(Liab!L318:L320)-Liab!L322),"",IF(Liab!M309+Liab!M311+Liab!M313+Liab!M316+SUM(Liab!M318:M320)+Liab!M322-Liab!L309-Liab!L311-Liab!L313-Liab!L316-SUM(Liab!L318:L320)-Liab!L322=0,"",Liab!M309+Liab!M311+Liab!M313+Liab!M316+SUM(Liab!M318:M320)+Liab!M322-Liab!L309-Liab!L311-Liab!L313-Liab!L316-SUM(Liab!L318:L320)-Liab!L322))</f>
        <v/>
      </c>
      <c r="M302" s="256" t="str">
        <f>IF(ISERROR(Liab!N309+Liab!N311+Liab!N313+Liab!N316+SUM(Liab!N318:N320)+Liab!N322-Liab!M309-Liab!M311-Liab!M313-Liab!M316-SUM(Liab!M318:M320)-Liab!M322),"",IF(Liab!N309+Liab!N311+Liab!N313+Liab!N316+SUM(Liab!N318:N320)+Liab!N322-Liab!M309-Liab!M311-Liab!M313-Liab!M316-SUM(Liab!M318:M320)-Liab!M322=0,"",Liab!N309+Liab!N311+Liab!N313+Liab!N316+SUM(Liab!N318:N320)+Liab!N322-Liab!M309-Liab!M311-Liab!M313-Liab!M316-SUM(Liab!M318:M320)-Liab!M322))</f>
        <v/>
      </c>
      <c r="N302" s="256" t="str">
        <f>IF(ISERROR(Liab!O309+Liab!O311+Liab!O313+Liab!O316+SUM(Liab!O318:O320)+Liab!O322-Liab!N309-Liab!N311-Liab!N313-Liab!N316-SUM(Liab!N318:N320)-Liab!N322),"",IF(Liab!O309+Liab!O311+Liab!O313+Liab!O316+SUM(Liab!O318:O320)+Liab!O322-Liab!N309-Liab!N311-Liab!N313-Liab!N316-SUM(Liab!N318:N320)-Liab!N322=0,"",Liab!O309+Liab!O311+Liab!O313+Liab!O316+SUM(Liab!O318:O320)+Liab!O322-Liab!N309-Liab!N311-Liab!N313-Liab!N316-SUM(Liab!N318:N320)-Liab!N322))</f>
        <v/>
      </c>
      <c r="O302" s="256" t="str">
        <f>IF(ISERROR(Liab!P309+Liab!P311+Liab!P313+Liab!P316+SUM(Liab!P318:P320)+Liab!P322-Liab!O309-Liab!O311-Liab!O313-Liab!O316-SUM(Liab!O318:O320)-Liab!O322),"",IF(Liab!P309+Liab!P311+Liab!P313+Liab!P316+SUM(Liab!P318:P320)+Liab!P322-Liab!O309-Liab!O311-Liab!O313-Liab!O316-SUM(Liab!O318:O320)-Liab!O322=0,"",Liab!P309+Liab!P311+Liab!P313+Liab!P316+SUM(Liab!P318:P320)+Liab!P322-Liab!O309-Liab!O311-Liab!O313-Liab!O316-SUM(Liab!O318:O320)-Liab!O322))</f>
        <v/>
      </c>
      <c r="P302" s="256" t="str">
        <f>IF(ISERROR(Liab!Q309+Liab!Q311+Liab!Q313+Liab!Q316+SUM(Liab!Q318:Q320)+Liab!Q322-Liab!P309-Liab!P311-Liab!P313-Liab!P316-SUM(Liab!P318:P320)-Liab!P322),"",IF(Liab!Q309+Liab!Q311+Liab!Q313+Liab!Q316+SUM(Liab!Q318:Q320)+Liab!Q322-Liab!P309-Liab!P311-Liab!P313-Liab!P316-SUM(Liab!P318:P320)-Liab!P322=0,"",Liab!Q309+Liab!Q311+Liab!Q313+Liab!Q316+SUM(Liab!Q318:Q320)+Liab!Q322-Liab!P309-Liab!P311-Liab!P313-Liab!P316-SUM(Liab!P318:P320)-Liab!P322))</f>
        <v/>
      </c>
      <c r="Q302" s="256" t="str">
        <f>IF(ISERROR(Liab!R309+Liab!R311+Liab!R313+Liab!R316+SUM(Liab!R318:R320)+Liab!R322-Liab!Q309-Liab!Q311-Liab!Q313-Liab!Q316-SUM(Liab!Q318:Q320)-Liab!Q322),"",IF(Liab!R309+Liab!R311+Liab!R313+Liab!R316+SUM(Liab!R318:R320)+Liab!R322-Liab!Q309-Liab!Q311-Liab!Q313-Liab!Q316-SUM(Liab!Q318:Q320)-Liab!Q322=0,"",Liab!R309+Liab!R311+Liab!R313+Liab!R316+SUM(Liab!R318:R320)+Liab!R322-Liab!Q309-Liab!Q311-Liab!Q313-Liab!Q316-SUM(Liab!Q318:Q320)-Liab!Q322))</f>
        <v/>
      </c>
      <c r="R302" s="256" t="str">
        <f>IF(ISERROR(Liab!S309+Liab!S311+Liab!S313+Liab!S316+SUM(Liab!S318:S320)+Liab!S322-Liab!R309-Liab!R311-Liab!R313-Liab!R316-SUM(Liab!R318:R320)-Liab!R322),"",IF(Liab!S309+Liab!S311+Liab!S313+Liab!S316+SUM(Liab!S318:S320)+Liab!S322-Liab!R309-Liab!R311-Liab!R313-Liab!R316-SUM(Liab!R318:R320)-Liab!R322=0,"",Liab!S309+Liab!S311+Liab!S313+Liab!S316+SUM(Liab!S318:S320)+Liab!S322-Liab!R309-Liab!R311-Liab!R313-Liab!R316-SUM(Liab!R318:R320)-Liab!R322))</f>
        <v/>
      </c>
      <c r="S302" s="256" t="str">
        <f>IF(ISERROR(Liab!T309+Liab!T311+Liab!T313+Liab!T316+SUM(Liab!T318:T320)+Liab!T322-Liab!S309-Liab!S311-Liab!S313-Liab!S316-SUM(Liab!S318:S320)-Liab!S322),"",IF(Liab!T309+Liab!T311+Liab!T313+Liab!T316+SUM(Liab!T318:T320)+Liab!T322-Liab!S309-Liab!S311-Liab!S313-Liab!S316-SUM(Liab!S318:S320)-Liab!S322=0,"",Liab!T309+Liab!T311+Liab!T313+Liab!T316+SUM(Liab!T318:T320)+Liab!T322-Liab!S309-Liab!S311-Liab!S313-Liab!S316-SUM(Liab!S318:S320)-Liab!S322))</f>
        <v/>
      </c>
      <c r="T302" s="256" t="str">
        <f>IF(ISERROR(Liab!U309+Liab!U311+Liab!U313+Liab!U316+SUM(Liab!U318:U320)+Liab!U322-Liab!T309-Liab!T311-Liab!T313-Liab!T316-SUM(Liab!T318:T320)-Liab!T322),"",IF(Liab!U309+Liab!U311+Liab!U313+Liab!U316+SUM(Liab!U318:U320)+Liab!U322-Liab!T309-Liab!T311-Liab!T313-Liab!T316-SUM(Liab!T318:T320)-Liab!T322=0,"",Liab!U309+Liab!U311+Liab!U313+Liab!U316+SUM(Liab!U318:U320)+Liab!U322-Liab!T309-Liab!T311-Liab!T313-Liab!T316-SUM(Liab!T318:T320)-Liab!T322))</f>
        <v/>
      </c>
      <c r="U302" s="256" t="str">
        <f>IF(ISERROR(Liab!V309+Liab!V311+Liab!V313+Liab!V316+SUM(Liab!V318:V320)+Liab!V322-Liab!U309-Liab!U311-Liab!U313-Liab!U316-SUM(Liab!U318:U320)-Liab!U322),"",IF(Liab!V309+Liab!V311+Liab!V313+Liab!V316+SUM(Liab!V318:V320)+Liab!V322-Liab!U309-Liab!U311-Liab!U313-Liab!U316-SUM(Liab!U318:U320)-Liab!U322=0,"",Liab!V309+Liab!V311+Liab!V313+Liab!V316+SUM(Liab!V318:V320)+Liab!V322-Liab!U309-Liab!U311-Liab!U313-Liab!U316-SUM(Liab!U318:U320)-Liab!U322))</f>
        <v/>
      </c>
      <c r="V302" s="612"/>
    </row>
    <row r="303" spans="1:22" ht="14.25" hidden="1" customHeight="1" x14ac:dyDescent="0.2">
      <c r="A303" s="287" t="s">
        <v>609</v>
      </c>
      <c r="B303" s="280">
        <v>0</v>
      </c>
      <c r="C303" s="256" t="str">
        <f>IF(ISERROR(Liab!D290+Liab!D292-Liab!C290-Liab!C292),"",IF(Liab!D290+Liab!D292-Liab!C290-Liab!C292=0,"",Liab!D290+Liab!D292-Liab!C290-Liab!C292))</f>
        <v/>
      </c>
      <c r="D303" s="256" t="str">
        <f>IF(ISERROR(Liab!E290+Liab!E292-Liab!D290-Liab!D292),"",IF(Liab!E290+Liab!E292-Liab!D290-Liab!D292=0,"",Liab!E290+Liab!E292-Liab!D290-Liab!D292))</f>
        <v/>
      </c>
      <c r="E303" s="256" t="str">
        <f>IF(ISERROR(Liab!F290+Liab!F292-Liab!E290-Liab!E292),"",IF(Liab!F290+Liab!F292-Liab!E290-Liab!E292=0,"",Liab!F290+Liab!F292-Liab!E290-Liab!E292))</f>
        <v/>
      </c>
      <c r="F303" s="256" t="str">
        <f>IF(ISERROR(Liab!G290+Liab!G292-Liab!F290-Liab!F292),"",IF(Liab!G290+Liab!G292-Liab!F290-Liab!F292=0,"",Liab!G290+Liab!G292-Liab!F290-Liab!F292))</f>
        <v/>
      </c>
      <c r="G303" s="256" t="str">
        <f>IF(ISERROR(Liab!H290+Liab!H292-Liab!G290-Liab!G292),"",IF(Liab!H290+Liab!H292-Liab!G290-Liab!G292=0,"",Liab!H290+Liab!H292-Liab!G290-Liab!G292))</f>
        <v/>
      </c>
      <c r="H303" s="256" t="str">
        <f>IF(ISERROR(Liab!I290+Liab!I292-Liab!H290-Liab!H292),"",IF(Liab!I290+Liab!I292-Liab!H290-Liab!H292=0,"",Liab!I290+Liab!I292-Liab!H290-Liab!H292))</f>
        <v/>
      </c>
      <c r="I303" s="256" t="str">
        <f>IF(ISERROR(Liab!J290+Liab!J292-Liab!I290-Liab!I292),"",IF(Liab!J290+Liab!J292-Liab!I290-Liab!I292=0,"",Liab!J290+Liab!J292-Liab!I290-Liab!I292))</f>
        <v/>
      </c>
      <c r="J303" s="256" t="str">
        <f>IF(ISERROR(Liab!K290+Liab!K292-Liab!J290-Liab!J292),"",IF(Liab!K290+Liab!K292-Liab!J290-Liab!J292=0,"",Liab!K290+Liab!K292-Liab!J290-Liab!J292))</f>
        <v/>
      </c>
      <c r="K303" s="256" t="str">
        <f>IF(ISERROR(Liab!L290+Liab!L292-Liab!K290-Liab!K292),"",IF(Liab!L290+Liab!L292-Liab!K290-Liab!K292=0,"",Liab!L290+Liab!L292-Liab!K290-Liab!K292))</f>
        <v/>
      </c>
      <c r="L303" s="256" t="str">
        <f>IF(ISERROR(Liab!M290+Liab!M292-Liab!L290-Liab!L292),"",IF(Liab!M290+Liab!M292-Liab!L290-Liab!L292=0,"",Liab!M290+Liab!M292-Liab!L290-Liab!L292))</f>
        <v/>
      </c>
      <c r="M303" s="256" t="str">
        <f>IF(ISERROR(Liab!N290+Liab!N292-Liab!M290-Liab!M292),"",IF(Liab!N290+Liab!N292-Liab!M290-Liab!M292=0,"",Liab!N290+Liab!N292-Liab!M290-Liab!M292))</f>
        <v/>
      </c>
      <c r="N303" s="256" t="str">
        <f>IF(ISERROR(Liab!O290+Liab!O292-Liab!N290-Liab!N292),"",IF(Liab!O290+Liab!O292-Liab!N290-Liab!N292=0,"",Liab!O290+Liab!O292-Liab!N290-Liab!N292))</f>
        <v/>
      </c>
      <c r="O303" s="256" t="str">
        <f>IF(ISERROR(Liab!P290+Liab!P292-Liab!O290-Liab!O292),"",IF(Liab!P290+Liab!P292-Liab!O290-Liab!O292=0,"",Liab!P290+Liab!P292-Liab!O290-Liab!O292))</f>
        <v/>
      </c>
      <c r="P303" s="256" t="str">
        <f>IF(ISERROR(Liab!Q290+Liab!Q292-Liab!P290-Liab!P292),"",IF(Liab!Q290+Liab!Q292-Liab!P290-Liab!P292=0,"",Liab!Q290+Liab!Q292-Liab!P290-Liab!P292))</f>
        <v/>
      </c>
      <c r="Q303" s="256" t="str">
        <f>IF(ISERROR(Liab!R290+Liab!R292-Liab!Q290-Liab!Q292),"",IF(Liab!R290+Liab!R292-Liab!Q290-Liab!Q292=0,"",Liab!R290+Liab!R292-Liab!Q290-Liab!Q292))</f>
        <v/>
      </c>
      <c r="R303" s="256" t="str">
        <f>IF(ISERROR(Liab!S290+Liab!S292-Liab!R290-Liab!R292),"",IF(Liab!S290+Liab!S292-Liab!R290-Liab!R292=0,"",Liab!S290+Liab!S292-Liab!R290-Liab!R292))</f>
        <v/>
      </c>
      <c r="S303" s="256" t="str">
        <f>IF(ISERROR(Liab!T290+Liab!T292-Liab!S290-Liab!S292),"",IF(Liab!T290+Liab!T292-Liab!S290-Liab!S292=0,"",Liab!T290+Liab!T292-Liab!S290-Liab!S292))</f>
        <v/>
      </c>
      <c r="T303" s="256" t="str">
        <f>IF(ISERROR(Liab!U290+Liab!U292-Liab!T290-Liab!T292),"",IF(Liab!U290+Liab!U292-Liab!T290-Liab!T292=0,"",Liab!U290+Liab!U292-Liab!T290-Liab!T292))</f>
        <v/>
      </c>
      <c r="U303" s="256" t="str">
        <f>IF(ISERROR(Liab!V290+Liab!V292-Liab!U290-Liab!U292),"",IF(Liab!V290+Liab!V292-Liab!U290-Liab!U292=0,"",Liab!V290+Liab!V292-Liab!U290-Liab!U292))</f>
        <v/>
      </c>
      <c r="V303" s="612"/>
    </row>
    <row r="304" spans="1:22" ht="14.25" hidden="1" customHeight="1" x14ac:dyDescent="0.2">
      <c r="A304" s="287" t="s">
        <v>613</v>
      </c>
      <c r="B304" s="280">
        <v>0</v>
      </c>
      <c r="C304" s="256" t="str">
        <f>IF(ISERROR(Liab!D286+Liab!D288+SUM(Liab!D294:D297)+Liab!D299+Liab!D301-Liab!C286-Liab!C288-SUM(Liab!C294:C297)-Liab!C299-Liab!C301),"",IF(Liab!D286+Liab!D288+SUM(Liab!D294:D297)+Liab!D299+Liab!D301-Liab!C286-Liab!C288-SUM(Liab!C294:C297)-Liab!C299-Liab!C301=0,"",Liab!D286+Liab!D288+SUM(Liab!D294:D297)+Liab!D299+Liab!D301-Liab!C286-Liab!C288-SUM(Liab!C294:C297)-Liab!C299-Liab!C301))</f>
        <v/>
      </c>
      <c r="D304" s="256" t="str">
        <f>IF(ISERROR(Liab!E286+Liab!E288+SUM(Liab!E294:E297)+Liab!E299+Liab!E301-Liab!D286-Liab!D288-SUM(Liab!D294:D297)-Liab!D299-Liab!D301),"",IF(Liab!E286+Liab!E288+SUM(Liab!E294:E297)+Liab!E299+Liab!E301-Liab!D286-Liab!D288-SUM(Liab!D294:D297)-Liab!D299-Liab!D301=0,"",Liab!E286+Liab!E288+SUM(Liab!E294:E297)+Liab!E299+Liab!E301-Liab!D286-Liab!D288-SUM(Liab!D294:D297)-Liab!D299-Liab!D301))</f>
        <v/>
      </c>
      <c r="E304" s="256" t="str">
        <f>IF(ISERROR(Liab!F286+Liab!F288+SUM(Liab!F294:F297)+Liab!F299+Liab!F301-Liab!E286-Liab!E288-SUM(Liab!E294:E297)-Liab!E299-Liab!E301),"",IF(Liab!F286+Liab!F288+SUM(Liab!F294:F297)+Liab!F299+Liab!F301-Liab!E286-Liab!E288-SUM(Liab!E294:E297)-Liab!E299-Liab!E301=0,"",Liab!F286+Liab!F288+SUM(Liab!F294:F297)+Liab!F299+Liab!F301-Liab!E286-Liab!E288-SUM(Liab!E294:E297)-Liab!E299-Liab!E301))</f>
        <v/>
      </c>
      <c r="F304" s="256" t="str">
        <f>IF(ISERROR(Liab!G286+Liab!G288+SUM(Liab!G294:G297)+Liab!G299+Liab!G301-Liab!F286-Liab!F288-SUM(Liab!F294:F297)-Liab!F299-Liab!F301),"",IF(Liab!G286+Liab!G288+SUM(Liab!G294:G297)+Liab!G299+Liab!G301-Liab!F286-Liab!F288-SUM(Liab!F294:F297)-Liab!F299-Liab!F301=0,"",Liab!G286+Liab!G288+SUM(Liab!G294:G297)+Liab!G299+Liab!G301-Liab!F286-Liab!F288-SUM(Liab!F294:F297)-Liab!F299-Liab!F301))</f>
        <v/>
      </c>
      <c r="G304" s="256" t="str">
        <f>IF(ISERROR(Liab!H286+Liab!H288+SUM(Liab!H294:H297)+Liab!H299+Liab!H301-Liab!G286-Liab!G288-SUM(Liab!G294:G297)-Liab!G299-Liab!G301),"",IF(Liab!H286+Liab!H288+SUM(Liab!H294:H297)+Liab!H299+Liab!H301-Liab!G286-Liab!G288-SUM(Liab!G294:G297)-Liab!G299-Liab!G301=0,"",Liab!H286+Liab!H288+SUM(Liab!H294:H297)+Liab!H299+Liab!H301-Liab!G286-Liab!G288-SUM(Liab!G294:G297)-Liab!G299-Liab!G301))</f>
        <v/>
      </c>
      <c r="H304" s="256" t="str">
        <f>IF(ISERROR(Liab!I286+Liab!I288+SUM(Liab!I294:I297)+Liab!I299+Liab!I301-Liab!H286-Liab!H288-SUM(Liab!H294:H297)-Liab!H299-Liab!H301),"",IF(Liab!I286+Liab!I288+SUM(Liab!I294:I297)+Liab!I299+Liab!I301-Liab!H286-Liab!H288-SUM(Liab!H294:H297)-Liab!H299-Liab!H301=0,"",Liab!I286+Liab!I288+SUM(Liab!I294:I297)+Liab!I299+Liab!I301-Liab!H286-Liab!H288-SUM(Liab!H294:H297)-Liab!H299-Liab!H301))</f>
        <v/>
      </c>
      <c r="I304" s="256" t="str">
        <f>IF(ISERROR(Liab!J286+Liab!J288+SUM(Liab!J294:J297)+Liab!J299+Liab!J301-Liab!I286-Liab!I288-SUM(Liab!I294:I297)-Liab!I299-Liab!I301),"",IF(Liab!J286+Liab!J288+SUM(Liab!J294:J297)+Liab!J299+Liab!J301-Liab!I286-Liab!I288-SUM(Liab!I294:I297)-Liab!I299-Liab!I301=0,"",Liab!J286+Liab!J288+SUM(Liab!J294:J297)+Liab!J299+Liab!J301-Liab!I286-Liab!I288-SUM(Liab!I294:I297)-Liab!I299-Liab!I301))</f>
        <v/>
      </c>
      <c r="J304" s="256" t="str">
        <f>IF(ISERROR(Liab!K286+Liab!K288+SUM(Liab!K294:K297)+Liab!K299+Liab!K301-Liab!J286-Liab!J288-SUM(Liab!J294:J297)-Liab!J299-Liab!J301),"",IF(Liab!K286+Liab!K288+SUM(Liab!K294:K297)+Liab!K299+Liab!K301-Liab!J286-Liab!J288-SUM(Liab!J294:J297)-Liab!J299-Liab!J301=0,"",Liab!K286+Liab!K288+SUM(Liab!K294:K297)+Liab!K299+Liab!K301-Liab!J286-Liab!J288-SUM(Liab!J294:J297)-Liab!J299-Liab!J301))</f>
        <v/>
      </c>
      <c r="K304" s="256" t="str">
        <f>IF(ISERROR(Liab!L286+Liab!L288+SUM(Liab!L294:L297)+Liab!L299+Liab!L301-Liab!K286-Liab!K288-SUM(Liab!K294:K297)-Liab!K299-Liab!K301),"",IF(Liab!L286+Liab!L288+SUM(Liab!L294:L297)+Liab!L299+Liab!L301-Liab!K286-Liab!K288-SUM(Liab!K294:K297)-Liab!K299-Liab!K301=0,"",Liab!L286+Liab!L288+SUM(Liab!L294:L297)+Liab!L299+Liab!L301-Liab!K286-Liab!K288-SUM(Liab!K294:K297)-Liab!K299-Liab!K301))</f>
        <v/>
      </c>
      <c r="L304" s="256" t="str">
        <f>IF(ISERROR(Liab!M286+Liab!M288+SUM(Liab!M294:M297)+Liab!M299+Liab!M301-Liab!L286-Liab!L288-SUM(Liab!L294:L297)-Liab!L299-Liab!L301),"",IF(Liab!M286+Liab!M288+SUM(Liab!M294:M297)+Liab!M299+Liab!M301-Liab!L286-Liab!L288-SUM(Liab!L294:L297)-Liab!L299-Liab!L301=0,"",Liab!M286+Liab!M288+SUM(Liab!M294:M297)+Liab!M299+Liab!M301-Liab!L286-Liab!L288-SUM(Liab!L294:L297)-Liab!L299-Liab!L301))</f>
        <v/>
      </c>
      <c r="M304" s="256" t="str">
        <f>IF(ISERROR(Liab!N286+Liab!N288+SUM(Liab!N294:N297)+Liab!N299+Liab!N301-Liab!M286-Liab!M288-SUM(Liab!M294:M297)-Liab!M299-Liab!M301),"",IF(Liab!N286+Liab!N288+SUM(Liab!N294:N297)+Liab!N299+Liab!N301-Liab!M286-Liab!M288-SUM(Liab!M294:M297)-Liab!M299-Liab!M301=0,"",Liab!N286+Liab!N288+SUM(Liab!N294:N297)+Liab!N299+Liab!N301-Liab!M286-Liab!M288-SUM(Liab!M294:M297)-Liab!M299-Liab!M301))</f>
        <v/>
      </c>
      <c r="N304" s="256" t="str">
        <f>IF(ISERROR(Liab!O286+Liab!O288+SUM(Liab!O294:O297)+Liab!O299+Liab!O301-Liab!N286-Liab!N288-SUM(Liab!N294:N297)-Liab!N299-Liab!N301),"",IF(Liab!O286+Liab!O288+SUM(Liab!O294:O297)+Liab!O299+Liab!O301-Liab!N286-Liab!N288-SUM(Liab!N294:N297)-Liab!N299-Liab!N301=0,"",Liab!O286+Liab!O288+SUM(Liab!O294:O297)+Liab!O299+Liab!O301-Liab!N286-Liab!N288-SUM(Liab!N294:N297)-Liab!N299-Liab!N301))</f>
        <v/>
      </c>
      <c r="O304" s="256" t="str">
        <f>IF(ISERROR(Liab!P286+Liab!P288+SUM(Liab!P294:P297)+Liab!P299+Liab!P301-Liab!O286-Liab!O288-SUM(Liab!O294:O297)-Liab!O299-Liab!O301),"",IF(Liab!P286+Liab!P288+SUM(Liab!P294:P297)+Liab!P299+Liab!P301-Liab!O286-Liab!O288-SUM(Liab!O294:O297)-Liab!O299-Liab!O301=0,"",Liab!P286+Liab!P288+SUM(Liab!P294:P297)+Liab!P299+Liab!P301-Liab!O286-Liab!O288-SUM(Liab!O294:O297)-Liab!O299-Liab!O301))</f>
        <v/>
      </c>
      <c r="P304" s="256" t="str">
        <f>IF(ISERROR(Liab!Q286+Liab!Q288+SUM(Liab!Q294:Q297)+Liab!Q299+Liab!Q301-Liab!P286-Liab!P288-SUM(Liab!P294:P297)-Liab!P299-Liab!P301),"",IF(Liab!Q286+Liab!Q288+SUM(Liab!Q294:Q297)+Liab!Q299+Liab!Q301-Liab!P286-Liab!P288-SUM(Liab!P294:P297)-Liab!P299-Liab!P301=0,"",Liab!Q286+Liab!Q288+SUM(Liab!Q294:Q297)+Liab!Q299+Liab!Q301-Liab!P286-Liab!P288-SUM(Liab!P294:P297)-Liab!P299-Liab!P301))</f>
        <v/>
      </c>
      <c r="Q304" s="256" t="str">
        <f>IF(ISERROR(Liab!R286+Liab!R288+SUM(Liab!R294:R297)+Liab!R299+Liab!R301-Liab!Q286-Liab!Q288-SUM(Liab!Q294:Q297)-Liab!Q299-Liab!Q301),"",IF(Liab!R286+Liab!R288+SUM(Liab!R294:R297)+Liab!R299+Liab!R301-Liab!Q286-Liab!Q288-SUM(Liab!Q294:Q297)-Liab!Q299-Liab!Q301=0,"",Liab!R286+Liab!R288+SUM(Liab!R294:R297)+Liab!R299+Liab!R301-Liab!Q286-Liab!Q288-SUM(Liab!Q294:Q297)-Liab!Q299-Liab!Q301))</f>
        <v/>
      </c>
      <c r="R304" s="256" t="str">
        <f>IF(ISERROR(Liab!S286+Liab!S288+SUM(Liab!S294:S297)+Liab!S299+Liab!S301-Liab!R286-Liab!R288-SUM(Liab!R294:R297)-Liab!R299-Liab!R301),"",IF(Liab!S286+Liab!S288+SUM(Liab!S294:S297)+Liab!S299+Liab!S301-Liab!R286-Liab!R288-SUM(Liab!R294:R297)-Liab!R299-Liab!R301=0,"",Liab!S286+Liab!S288+SUM(Liab!S294:S297)+Liab!S299+Liab!S301-Liab!R286-Liab!R288-SUM(Liab!R294:R297)-Liab!R299-Liab!R301))</f>
        <v/>
      </c>
      <c r="S304" s="256" t="str">
        <f>IF(ISERROR(Liab!T286+Liab!T288+SUM(Liab!T294:T297)+Liab!T299+Liab!T301-Liab!S286-Liab!S288-SUM(Liab!S294:S297)-Liab!S299-Liab!S301),"",IF(Liab!T286+Liab!T288+SUM(Liab!T294:T297)+Liab!T299+Liab!T301-Liab!S286-Liab!S288-SUM(Liab!S294:S297)-Liab!S299-Liab!S301=0,"",Liab!T286+Liab!T288+SUM(Liab!T294:T297)+Liab!T299+Liab!T301-Liab!S286-Liab!S288-SUM(Liab!S294:S297)-Liab!S299-Liab!S301))</f>
        <v/>
      </c>
      <c r="T304" s="256" t="str">
        <f>IF(ISERROR(Liab!U286+Liab!U288+SUM(Liab!U294:U297)+Liab!U299+Liab!U301-Liab!T286-Liab!T288-SUM(Liab!T294:T297)-Liab!T299-Liab!T301),"",IF(Liab!U286+Liab!U288+SUM(Liab!U294:U297)+Liab!U299+Liab!U301-Liab!T286-Liab!T288-SUM(Liab!T294:T297)-Liab!T299-Liab!T301=0,"",Liab!U286+Liab!U288+SUM(Liab!U294:U297)+Liab!U299+Liab!U301-Liab!T286-Liab!T288-SUM(Liab!T294:T297)-Liab!T299-Liab!T301))</f>
        <v/>
      </c>
      <c r="U304" s="256" t="str">
        <f>IF(ISERROR(Liab!V286+Liab!V288+SUM(Liab!V294:V297)+Liab!V299+Liab!V301-Liab!U286-Liab!U288-SUM(Liab!U294:U297)-Liab!U299-Liab!U301),"",IF(Liab!V286+Liab!V288+SUM(Liab!V294:V297)+Liab!V299+Liab!V301-Liab!U286-Liab!U288-SUM(Liab!U294:U297)-Liab!U299-Liab!U301=0,"",Liab!V286+Liab!V288+SUM(Liab!V294:V297)+Liab!V299+Liab!V301-Liab!U286-Liab!U288-SUM(Liab!U294:U297)-Liab!U299-Liab!U301))</f>
        <v/>
      </c>
      <c r="V304" s="612"/>
    </row>
    <row r="305" spans="1:22" s="304" customFormat="1" ht="15" hidden="1" customHeight="1" x14ac:dyDescent="0.25">
      <c r="A305" s="285" t="s">
        <v>258</v>
      </c>
      <c r="B305" s="256">
        <f>SUM(B301:B304)</f>
        <v>0</v>
      </c>
      <c r="C305" s="281">
        <f>SUM(C301:C304)</f>
        <v>0.11</v>
      </c>
      <c r="D305" s="281">
        <f t="shared" ref="D305:U305" si="101">SUM(D301:D304)</f>
        <v>0.2900000000000002</v>
      </c>
      <c r="E305" s="281">
        <f t="shared" si="101"/>
        <v>0.23699999999999988</v>
      </c>
      <c r="F305" s="281">
        <f t="shared" si="101"/>
        <v>2.1300000000000003</v>
      </c>
      <c r="G305" s="281">
        <f t="shared" si="101"/>
        <v>3.6775075000000017</v>
      </c>
      <c r="H305" s="281">
        <f t="shared" si="101"/>
        <v>3.7874090000000011</v>
      </c>
      <c r="I305" s="281">
        <f t="shared" si="101"/>
        <v>3.7017272499999998</v>
      </c>
      <c r="J305" s="281">
        <f t="shared" si="101"/>
        <v>3.6410794999999956</v>
      </c>
      <c r="K305" s="281">
        <f t="shared" si="101"/>
        <v>3.6484050000000003</v>
      </c>
      <c r="L305" s="281">
        <f t="shared" si="101"/>
        <v>3.7892687499999989</v>
      </c>
      <c r="M305" s="281">
        <f t="shared" si="101"/>
        <v>0</v>
      </c>
      <c r="N305" s="281">
        <f t="shared" si="101"/>
        <v>0</v>
      </c>
      <c r="O305" s="281">
        <f t="shared" si="101"/>
        <v>0</v>
      </c>
      <c r="P305" s="281">
        <f t="shared" si="101"/>
        <v>0</v>
      </c>
      <c r="Q305" s="281">
        <f t="shared" si="101"/>
        <v>0</v>
      </c>
      <c r="R305" s="281">
        <f t="shared" si="101"/>
        <v>0</v>
      </c>
      <c r="S305" s="281">
        <f t="shared" si="101"/>
        <v>0</v>
      </c>
      <c r="T305" s="281">
        <f t="shared" si="101"/>
        <v>0</v>
      </c>
      <c r="U305" s="281">
        <f t="shared" si="101"/>
        <v>0</v>
      </c>
      <c r="V305" s="620"/>
    </row>
    <row r="306" spans="1:22" ht="15" hidden="1" customHeight="1" x14ac:dyDescent="0.25">
      <c r="A306" s="285" t="s">
        <v>58</v>
      </c>
      <c r="B306" s="256"/>
      <c r="C306" s="256"/>
      <c r="D306" s="256"/>
      <c r="E306" s="256"/>
      <c r="F306" s="256"/>
      <c r="G306" s="256"/>
      <c r="H306" s="256"/>
      <c r="I306" s="256"/>
      <c r="J306" s="256"/>
      <c r="K306" s="256"/>
      <c r="L306" s="256"/>
      <c r="M306" s="256"/>
      <c r="N306" s="256"/>
      <c r="O306" s="256"/>
      <c r="P306" s="256"/>
      <c r="Q306" s="256"/>
      <c r="R306" s="256"/>
      <c r="S306" s="256"/>
      <c r="T306" s="256"/>
      <c r="U306" s="256"/>
      <c r="V306" s="612"/>
    </row>
    <row r="307" spans="1:22" ht="14.25" hidden="1" customHeight="1" x14ac:dyDescent="0.2">
      <c r="A307" s="287" t="s">
        <v>59</v>
      </c>
      <c r="B307" s="280">
        <v>0</v>
      </c>
      <c r="C307" s="256" t="str">
        <f>IF(ISERROR(Asset!D285-Asset!C285),"",IF(Asset!D285-Asset!C285=0,"",Asset!D285-Asset!C285))</f>
        <v/>
      </c>
      <c r="D307" s="256" t="str">
        <f>IF(ISERROR(Asset!E285-Asset!D285),"",IF(Asset!E285-Asset!D285=0,"",Asset!E285-Asset!D285))</f>
        <v/>
      </c>
      <c r="E307" s="256" t="str">
        <f>IF(ISERROR(Asset!F285-Asset!E285),"",IF(Asset!F285-Asset!E285=0,"",Asset!F285-Asset!E285))</f>
        <v/>
      </c>
      <c r="F307" s="256" t="str">
        <f>IF(ISERROR(Asset!G285-Asset!F285),"",IF(Asset!G285-Asset!F285=0,"",Asset!G285-Asset!F285))</f>
        <v/>
      </c>
      <c r="G307" s="256" t="str">
        <f>IF(ISERROR(Asset!H285-Asset!G285),"",IF(Asset!H285-Asset!G285=0,"",Asset!H285-Asset!G285))</f>
        <v/>
      </c>
      <c r="H307" s="256" t="str">
        <f>IF(ISERROR(Asset!I285-Asset!H285),"",IF(Asset!I285-Asset!H285=0,"",Asset!I285-Asset!H285))</f>
        <v/>
      </c>
      <c r="I307" s="256" t="str">
        <f>IF(ISERROR(Asset!J285-Asset!I285),"",IF(Asset!J285-Asset!I285=0,"",Asset!J285-Asset!I285))</f>
        <v/>
      </c>
      <c r="J307" s="256" t="str">
        <f>IF(ISERROR(Asset!K285-Asset!J285),"",IF(Asset!K285-Asset!J285=0,"",Asset!K285-Asset!J285))</f>
        <v/>
      </c>
      <c r="K307" s="256" t="str">
        <f>IF(ISERROR(Asset!L285-Asset!K285),"",IF(Asset!L285-Asset!K285=0,"",Asset!L285-Asset!K285))</f>
        <v/>
      </c>
      <c r="L307" s="256" t="str">
        <f>IF(ISERROR(Asset!M285-Asset!L285),"",IF(Asset!M285-Asset!L285=0,"",Asset!M285-Asset!L285))</f>
        <v/>
      </c>
      <c r="M307" s="256" t="str">
        <f>IF(ISERROR(Asset!N285-Asset!M285),"",IF(Asset!N285-Asset!M285=0,"",Asset!N285-Asset!M285))</f>
        <v/>
      </c>
      <c r="N307" s="256" t="str">
        <f>IF(ISERROR(Asset!O285-Asset!N285),"",IF(Asset!O285-Asset!N285=0,"",Asset!O285-Asset!N285))</f>
        <v/>
      </c>
      <c r="O307" s="256" t="str">
        <f>IF(ISERROR(Asset!P285-Asset!O285),"",IF(Asset!P285-Asset!O285=0,"",Asset!P285-Asset!O285))</f>
        <v/>
      </c>
      <c r="P307" s="256" t="str">
        <f>IF(ISERROR(Asset!Q285-Asset!P285),"",IF(Asset!Q285-Asset!P285=0,"",Asset!Q285-Asset!P285))</f>
        <v/>
      </c>
      <c r="Q307" s="256" t="str">
        <f>IF(ISERROR(Asset!R285-Asset!Q285),"",IF(Asset!R285-Asset!Q285=0,"",Asset!R285-Asset!Q285))</f>
        <v/>
      </c>
      <c r="R307" s="256" t="str">
        <f>IF(ISERROR(Asset!S285-Asset!R285),"",IF(Asset!S285-Asset!R285=0,"",Asset!S285-Asset!R285))</f>
        <v/>
      </c>
      <c r="S307" s="256" t="str">
        <f>IF(ISERROR(Asset!T285-Asset!S285),"",IF(Asset!T285-Asset!S285=0,"",Asset!T285-Asset!S285))</f>
        <v/>
      </c>
      <c r="T307" s="256" t="str">
        <f>IF(ISERROR(Asset!U285-Asset!T285),"",IF(Asset!U285-Asset!T285=0,"",Asset!U285-Asset!T285))</f>
        <v/>
      </c>
      <c r="U307" s="256" t="str">
        <f>IF(ISERROR(Asset!V285-Asset!U285),"",IF(Asset!V285-Asset!U285=0,"",Asset!V285-Asset!U285))</f>
        <v/>
      </c>
      <c r="V307" s="612"/>
    </row>
    <row r="308" spans="1:22" ht="14.25" hidden="1" customHeight="1" x14ac:dyDescent="0.2">
      <c r="A308" s="287" t="s">
        <v>666</v>
      </c>
      <c r="B308" s="280">
        <v>0</v>
      </c>
      <c r="C308" s="256" t="str">
        <f>IF(ISERROR(SUM(Asset!D295:D296)+Asset!D298+SUM(Asset!D300:D309)+Asset!D314-SUM(Asset!C295:C296)-Asset!C298-SUM(Asset!C300:C309)-Asset!C314),"",IF(SUM(Asset!D295:D296)+Asset!D298+SUM(Asset!D300:D309)+Asset!D314-SUM(Asset!C295:C296)-Asset!C298-SUM(Asset!C300:C309)-Asset!C314=0,"",SUM(Asset!D295:D296)+Asset!D298+SUM(Asset!D300:D309)+Asset!D314-SUM(Asset!C295:C296)-Asset!C298-SUM(Asset!C300:C309)-Asset!C314))</f>
        <v/>
      </c>
      <c r="D308" s="256" t="str">
        <f>IF(ISERROR(SUM(Asset!E295:E296)+Asset!E298+SUM(Asset!E300:E309)+Asset!E314-SUM(Asset!D295:D296)-Asset!D298-SUM(Asset!D300:D309)-Asset!D314),"",IF(SUM(Asset!E295:E296)+Asset!E298+SUM(Asset!E300:E309)+Asset!E314-SUM(Asset!D295:D296)-Asset!D298-SUM(Asset!D300:D309)-Asset!D314=0,"",SUM(Asset!E295:E296)+Asset!E298+SUM(Asset!E300:E309)+Asset!E314-SUM(Asset!D295:D296)-Asset!D298-SUM(Asset!D300:D309)-Asset!D314))</f>
        <v/>
      </c>
      <c r="E308" s="256" t="str">
        <f>IF(ISERROR(SUM(Asset!F295:F296)+Asset!F298+SUM(Asset!F300:F309)+Asset!F314-SUM(Asset!E295:E296)-Asset!E298-SUM(Asset!E300:E309)-Asset!E314),"",IF(SUM(Asset!F295:F296)+Asset!F298+SUM(Asset!F300:F309)+Asset!F314-SUM(Asset!E295:E296)-Asset!E298-SUM(Asset!E300:E309)-Asset!E314=0,"",SUM(Asset!F295:F296)+Asset!F298+SUM(Asset!F300:F309)+Asset!F314-SUM(Asset!E295:E296)-Asset!E298-SUM(Asset!E300:E309)-Asset!E314))</f>
        <v/>
      </c>
      <c r="F308" s="256" t="str">
        <f>IF(ISERROR(SUM(Asset!G295:G296)+Asset!G298+SUM(Asset!G300:G309)+Asset!G314-SUM(Asset!F295:F296)-Asset!F298-SUM(Asset!F300:F309)-Asset!F314),"",IF(SUM(Asset!G295:G296)+Asset!G298+SUM(Asset!G300:G309)+Asset!G314-SUM(Asset!F295:F296)-Asset!F298-SUM(Asset!F300:F309)-Asset!F314=0,"",SUM(Asset!G295:G296)+Asset!G298+SUM(Asset!G300:G309)+Asset!G314-SUM(Asset!F295:F296)-Asset!F298-SUM(Asset!F300:F309)-Asset!F314))</f>
        <v/>
      </c>
      <c r="G308" s="256" t="str">
        <f>IF(ISERROR(SUM(Asset!H295:H296)+Asset!H298+SUM(Asset!H300:H309)+Asset!H314-SUM(Asset!G295:G296)-Asset!G298-SUM(Asset!G300:G309)-Asset!G314),"",IF(SUM(Asset!H295:H296)+Asset!H298+SUM(Asset!H300:H309)+Asset!H314-SUM(Asset!G295:G296)-Asset!G298-SUM(Asset!G300:G309)-Asset!G314=0,"",SUM(Asset!H295:H296)+Asset!H298+SUM(Asset!H300:H309)+Asset!H314-SUM(Asset!G295:G296)-Asset!G298-SUM(Asset!G300:G309)-Asset!G314))</f>
        <v/>
      </c>
      <c r="H308" s="256" t="str">
        <f>IF(ISERROR(SUM(Asset!I295:I296)+Asset!I298+SUM(Asset!I300:I309)+Asset!I314-SUM(Asset!H295:H296)-Asset!H298-SUM(Asset!H300:H309)-Asset!H314),"",IF(SUM(Asset!I295:I296)+Asset!I298+SUM(Asset!I300:I309)+Asset!I314-SUM(Asset!H295:H296)-Asset!H298-SUM(Asset!H300:H309)-Asset!H314=0,"",SUM(Asset!I295:I296)+Asset!I298+SUM(Asset!I300:I309)+Asset!I314-SUM(Asset!H295:H296)-Asset!H298-SUM(Asset!H300:H309)-Asset!H314))</f>
        <v/>
      </c>
      <c r="I308" s="256" t="str">
        <f>IF(ISERROR(SUM(Asset!J295:J296)+Asset!J298+SUM(Asset!J300:J309)+Asset!J314-SUM(Asset!I295:I296)-Asset!I298-SUM(Asset!I300:I309)-Asset!I314),"",IF(SUM(Asset!J295:J296)+Asset!J298+SUM(Asset!J300:J309)+Asset!J314-SUM(Asset!I295:I296)-Asset!I298-SUM(Asset!I300:I309)-Asset!I314=0,"",SUM(Asset!J295:J296)+Asset!J298+SUM(Asset!J300:J309)+Asset!J314-SUM(Asset!I295:I296)-Asset!I298-SUM(Asset!I300:I309)-Asset!I314))</f>
        <v/>
      </c>
      <c r="J308" s="256" t="str">
        <f>IF(ISERROR(SUM(Asset!K295:K296)+Asset!K298+SUM(Asset!K300:K309)+Asset!K314-SUM(Asset!J295:J296)-Asset!J298-SUM(Asset!J300:J309)-Asset!J314),"",IF(SUM(Asset!K295:K296)+Asset!K298+SUM(Asset!K300:K309)+Asset!K314-SUM(Asset!J295:J296)-Asset!J298-SUM(Asset!J300:J309)-Asset!J314=0,"",SUM(Asset!K295:K296)+Asset!K298+SUM(Asset!K300:K309)+Asset!K314-SUM(Asset!J295:J296)-Asset!J298-SUM(Asset!J300:J309)-Asset!J314))</f>
        <v/>
      </c>
      <c r="K308" s="256" t="str">
        <f>IF(ISERROR(SUM(Asset!L295:L296)+Asset!L298+SUM(Asset!L300:L309)+Asset!L314-SUM(Asset!K295:K296)-Asset!K298-SUM(Asset!K300:K309)-Asset!K314),"",IF(SUM(Asset!L295:L296)+Asset!L298+SUM(Asset!L300:L309)+Asset!L314-SUM(Asset!K295:K296)-Asset!K298-SUM(Asset!K300:K309)-Asset!K314=0,"",SUM(Asset!L295:L296)+Asset!L298+SUM(Asset!L300:L309)+Asset!L314-SUM(Asset!K295:K296)-Asset!K298-SUM(Asset!K300:K309)-Asset!K314))</f>
        <v/>
      </c>
      <c r="L308" s="256" t="str">
        <f>IF(ISERROR(SUM(Asset!M295:M296)+Asset!M298+SUM(Asset!M300:M309)+Asset!M314-SUM(Asset!L295:L296)-Asset!L298-SUM(Asset!L300:L309)-Asset!L314),"",IF(SUM(Asset!M295:M296)+Asset!M298+SUM(Asset!M300:M309)+Asset!M314-SUM(Asset!L295:L296)-Asset!L298-SUM(Asset!L300:L309)-Asset!L314=0,"",SUM(Asset!M295:M296)+Asset!M298+SUM(Asset!M300:M309)+Asset!M314-SUM(Asset!L295:L296)-Asset!L298-SUM(Asset!L300:L309)-Asset!L314))</f>
        <v/>
      </c>
      <c r="M308" s="256" t="str">
        <f>IF(ISERROR(SUM(Asset!N295:N296)+Asset!N298+SUM(Asset!N300:N309)+Asset!N314-SUM(Asset!M295:M296)-Asset!M298-SUM(Asset!M300:M309)-Asset!M314),"",IF(SUM(Asset!N295:N296)+Asset!N298+SUM(Asset!N300:N309)+Asset!N314-SUM(Asset!M295:M296)-Asset!M298-SUM(Asset!M300:M309)-Asset!M314=0,"",SUM(Asset!N295:N296)+Asset!N298+SUM(Asset!N300:N309)+Asset!N314-SUM(Asset!M295:M296)-Asset!M298-SUM(Asset!M300:M309)-Asset!M314))</f>
        <v/>
      </c>
      <c r="N308" s="256" t="str">
        <f>IF(ISERROR(SUM(Asset!O295:O296)+Asset!O298+SUM(Asset!O300:O309)+Asset!O314-SUM(Asset!N295:N296)-Asset!N298-SUM(Asset!N300:N309)-Asset!N314),"",IF(SUM(Asset!O295:O296)+Asset!O298+SUM(Asset!O300:O309)+Asset!O314-SUM(Asset!N295:N296)-Asset!N298-SUM(Asset!N300:N309)-Asset!N314=0,"",SUM(Asset!O295:O296)+Asset!O298+SUM(Asset!O300:O309)+Asset!O314-SUM(Asset!N295:N296)-Asset!N298-SUM(Asset!N300:N309)-Asset!N314))</f>
        <v/>
      </c>
      <c r="O308" s="256" t="str">
        <f>IF(ISERROR(SUM(Asset!P295:P296)+Asset!P298+SUM(Asset!P300:P309)+Asset!P314-SUM(Asset!O295:O296)-Asset!O298-SUM(Asset!O300:O309)-Asset!O314),"",IF(SUM(Asset!P295:P296)+Asset!P298+SUM(Asset!P300:P309)+Asset!P314-SUM(Asset!O295:O296)-Asset!O298-SUM(Asset!O300:O309)-Asset!O314=0,"",SUM(Asset!P295:P296)+Asset!P298+SUM(Asset!P300:P309)+Asset!P314-SUM(Asset!O295:O296)-Asset!O298-SUM(Asset!O300:O309)-Asset!O314))</f>
        <v/>
      </c>
      <c r="P308" s="256" t="str">
        <f>IF(ISERROR(SUM(Asset!Q295:Q296)+Asset!Q298+SUM(Asset!Q300:Q309)+Asset!Q314-SUM(Asset!P295:P296)-Asset!P298-SUM(Asset!P300:P309)-Asset!P314),"",IF(SUM(Asset!Q295:Q296)+Asset!Q298+SUM(Asset!Q300:Q309)+Asset!Q314-SUM(Asset!P295:P296)-Asset!P298-SUM(Asset!P300:P309)-Asset!P314=0,"",SUM(Asset!Q295:Q296)+Asset!Q298+SUM(Asset!Q300:Q309)+Asset!Q314-SUM(Asset!P295:P296)-Asset!P298-SUM(Asset!P300:P309)-Asset!P314))</f>
        <v/>
      </c>
      <c r="Q308" s="256" t="str">
        <f>IF(ISERROR(SUM(Asset!R295:R296)+Asset!R298+SUM(Asset!R300:R309)+Asset!R314-SUM(Asset!Q295:Q296)-Asset!Q298-SUM(Asset!Q300:Q309)-Asset!Q314),"",IF(SUM(Asset!R295:R296)+Asset!R298+SUM(Asset!R300:R309)+Asset!R314-SUM(Asset!Q295:Q296)-Asset!Q298-SUM(Asset!Q300:Q309)-Asset!Q314=0,"",SUM(Asset!R295:R296)+Asset!R298+SUM(Asset!R300:R309)+Asset!R314-SUM(Asset!Q295:Q296)-Asset!Q298-SUM(Asset!Q300:Q309)-Asset!Q314))</f>
        <v/>
      </c>
      <c r="R308" s="256" t="str">
        <f>IF(ISERROR(SUM(Asset!S295:S296)+Asset!S298+SUM(Asset!S300:S309)+Asset!S314-SUM(Asset!R295:R296)-Asset!R298-SUM(Asset!R300:R309)-Asset!R314),"",IF(SUM(Asset!S295:S296)+Asset!S298+SUM(Asset!S300:S309)+Asset!S314-SUM(Asset!R295:R296)-Asset!R298-SUM(Asset!R300:R309)-Asset!R314=0,"",SUM(Asset!S295:S296)+Asset!S298+SUM(Asset!S300:S309)+Asset!S314-SUM(Asset!R295:R296)-Asset!R298-SUM(Asset!R300:R309)-Asset!R314))</f>
        <v/>
      </c>
      <c r="S308" s="256" t="str">
        <f>IF(ISERROR(SUM(Asset!T295:T296)+Asset!T298+SUM(Asset!T300:T309)+Asset!T314-SUM(Asset!S295:S296)-Asset!S298-SUM(Asset!S300:S309)-Asset!S314),"",IF(SUM(Asset!T295:T296)+Asset!T298+SUM(Asset!T300:T309)+Asset!T314-SUM(Asset!S295:S296)-Asset!S298-SUM(Asset!S300:S309)-Asset!S314=0,"",SUM(Asset!T295:T296)+Asset!T298+SUM(Asset!T300:T309)+Asset!T314-SUM(Asset!S295:S296)-Asset!S298-SUM(Asset!S300:S309)-Asset!S314))</f>
        <v/>
      </c>
      <c r="T308" s="256" t="str">
        <f>IF(ISERROR(SUM(Asset!U295:U296)+Asset!U298+SUM(Asset!U300:U309)+Asset!U314-SUM(Asset!T295:T296)-Asset!T298-SUM(Asset!T300:T309)-Asset!T314),"",IF(SUM(Asset!U295:U296)+Asset!U298+SUM(Asset!U300:U309)+Asset!U314-SUM(Asset!T295:T296)-Asset!T298-SUM(Asset!T300:T309)-Asset!T314=0,"",SUM(Asset!U295:U296)+Asset!U298+SUM(Asset!U300:U309)+Asset!U314-SUM(Asset!T295:T296)-Asset!T298-SUM(Asset!T300:T309)-Asset!T314))</f>
        <v/>
      </c>
      <c r="U308" s="256" t="str">
        <f>IF(ISERROR(SUM(Asset!V295:V296)+Asset!V298+SUM(Asset!V300:V309)+Asset!V314-SUM(Asset!U295:U296)-Asset!U298-SUM(Asset!U300:U309)-Asset!U314),"",IF(SUM(Asset!V295:V296)+Asset!V298+SUM(Asset!V300:V309)+Asset!V314-SUM(Asset!U295:U296)-Asset!U298-SUM(Asset!U300:U309)-Asset!U314=0,"",SUM(Asset!V295:V296)+Asset!V298+SUM(Asset!V300:V309)+Asset!V314-SUM(Asset!U295:U296)-Asset!U298-SUM(Asset!U300:U309)-Asset!U314))</f>
        <v/>
      </c>
      <c r="V308" s="612"/>
    </row>
    <row r="309" spans="1:22" s="304" customFormat="1" ht="15" hidden="1" customHeight="1" x14ac:dyDescent="0.25">
      <c r="A309" s="285" t="s">
        <v>258</v>
      </c>
      <c r="B309" s="281">
        <f>SUM(B307:B308)</f>
        <v>0</v>
      </c>
      <c r="C309" s="281">
        <f>SUM(C307:C308)</f>
        <v>0</v>
      </c>
      <c r="D309" s="281">
        <f t="shared" ref="D309:U309" si="102">SUM(D307:D308)</f>
        <v>0</v>
      </c>
      <c r="E309" s="281">
        <f t="shared" si="102"/>
        <v>0</v>
      </c>
      <c r="F309" s="281">
        <f t="shared" si="102"/>
        <v>0</v>
      </c>
      <c r="G309" s="281">
        <f t="shared" si="102"/>
        <v>0</v>
      </c>
      <c r="H309" s="281">
        <f t="shared" si="102"/>
        <v>0</v>
      </c>
      <c r="I309" s="281">
        <f t="shared" si="102"/>
        <v>0</v>
      </c>
      <c r="J309" s="281">
        <f t="shared" si="102"/>
        <v>0</v>
      </c>
      <c r="K309" s="281">
        <f t="shared" si="102"/>
        <v>0</v>
      </c>
      <c r="L309" s="281">
        <f t="shared" si="102"/>
        <v>0</v>
      </c>
      <c r="M309" s="281">
        <f t="shared" si="102"/>
        <v>0</v>
      </c>
      <c r="N309" s="281">
        <f t="shared" si="102"/>
        <v>0</v>
      </c>
      <c r="O309" s="281">
        <f t="shared" si="102"/>
        <v>0</v>
      </c>
      <c r="P309" s="281">
        <f t="shared" si="102"/>
        <v>0</v>
      </c>
      <c r="Q309" s="281">
        <f t="shared" si="102"/>
        <v>0</v>
      </c>
      <c r="R309" s="281">
        <f t="shared" si="102"/>
        <v>0</v>
      </c>
      <c r="S309" s="281">
        <f t="shared" si="102"/>
        <v>0</v>
      </c>
      <c r="T309" s="281">
        <f t="shared" si="102"/>
        <v>0</v>
      </c>
      <c r="U309" s="281">
        <f t="shared" si="102"/>
        <v>0</v>
      </c>
      <c r="V309" s="620"/>
    </row>
    <row r="310" spans="1:22" s="304" customFormat="1" ht="28.5" hidden="1" customHeight="1" x14ac:dyDescent="0.25">
      <c r="A310" s="285" t="s">
        <v>60</v>
      </c>
      <c r="B310" s="281">
        <f>B305-B309</f>
        <v>0</v>
      </c>
      <c r="C310" s="281">
        <f>C305-C309</f>
        <v>0.11</v>
      </c>
      <c r="D310" s="281">
        <f t="shared" ref="D310:U310" si="103">D305-D309</f>
        <v>0.2900000000000002</v>
      </c>
      <c r="E310" s="281">
        <f t="shared" si="103"/>
        <v>0.23699999999999988</v>
      </c>
      <c r="F310" s="281">
        <f t="shared" si="103"/>
        <v>2.1300000000000003</v>
      </c>
      <c r="G310" s="281">
        <f t="shared" si="103"/>
        <v>3.6775075000000017</v>
      </c>
      <c r="H310" s="281">
        <f t="shared" si="103"/>
        <v>3.7874090000000011</v>
      </c>
      <c r="I310" s="281">
        <f t="shared" si="103"/>
        <v>3.7017272499999998</v>
      </c>
      <c r="J310" s="281">
        <f t="shared" si="103"/>
        <v>3.6410794999999956</v>
      </c>
      <c r="K310" s="281">
        <f t="shared" si="103"/>
        <v>3.6484050000000003</v>
      </c>
      <c r="L310" s="281">
        <f t="shared" si="103"/>
        <v>3.7892687499999989</v>
      </c>
      <c r="M310" s="281">
        <f t="shared" si="103"/>
        <v>0</v>
      </c>
      <c r="N310" s="281">
        <f t="shared" si="103"/>
        <v>0</v>
      </c>
      <c r="O310" s="281">
        <f t="shared" si="103"/>
        <v>0</v>
      </c>
      <c r="P310" s="281">
        <f t="shared" si="103"/>
        <v>0</v>
      </c>
      <c r="Q310" s="281">
        <f t="shared" si="103"/>
        <v>0</v>
      </c>
      <c r="R310" s="281">
        <f t="shared" si="103"/>
        <v>0</v>
      </c>
      <c r="S310" s="281">
        <f t="shared" si="103"/>
        <v>0</v>
      </c>
      <c r="T310" s="281">
        <f t="shared" si="103"/>
        <v>0</v>
      </c>
      <c r="U310" s="281">
        <f t="shared" si="103"/>
        <v>0</v>
      </c>
      <c r="V310" s="620"/>
    </row>
    <row r="311" spans="1:22" s="304" customFormat="1" ht="22.5" hidden="1" customHeight="1" x14ac:dyDescent="0.25">
      <c r="A311" s="259" t="s">
        <v>458</v>
      </c>
      <c r="B311" s="284"/>
      <c r="C311" s="284"/>
      <c r="D311" s="284"/>
      <c r="E311" s="284"/>
      <c r="F311" s="284"/>
      <c r="G311" s="284"/>
      <c r="H311" s="284"/>
      <c r="I311" s="284"/>
      <c r="J311" s="284"/>
      <c r="K311" s="284"/>
      <c r="L311" s="284"/>
      <c r="M311" s="284"/>
      <c r="N311" s="284"/>
      <c r="O311" s="284"/>
      <c r="P311" s="284"/>
      <c r="Q311" s="284"/>
      <c r="R311" s="284"/>
      <c r="S311" s="284"/>
      <c r="T311" s="284"/>
      <c r="U311" s="284"/>
      <c r="V311" s="620"/>
    </row>
    <row r="312" spans="1:22" s="297" customFormat="1" ht="12.75" hidden="1" customHeight="1" x14ac:dyDescent="0.25">
      <c r="A312" s="296"/>
      <c r="B312" s="261">
        <f>B225</f>
        <v>2020</v>
      </c>
      <c r="C312" s="261">
        <f>C225</f>
        <v>2021</v>
      </c>
      <c r="D312" s="261">
        <f t="shared" ref="D312:U312" si="104">D225</f>
        <v>2022</v>
      </c>
      <c r="E312" s="261">
        <f t="shared" si="104"/>
        <v>2023</v>
      </c>
      <c r="F312" s="261">
        <f t="shared" si="104"/>
        <v>2024</v>
      </c>
      <c r="G312" s="261">
        <f t="shared" si="104"/>
        <v>2025</v>
      </c>
      <c r="H312" s="261">
        <f t="shared" si="104"/>
        <v>2026</v>
      </c>
      <c r="I312" s="261">
        <f t="shared" si="104"/>
        <v>2027</v>
      </c>
      <c r="J312" s="261">
        <f t="shared" si="104"/>
        <v>2028</v>
      </c>
      <c r="K312" s="261">
        <f t="shared" si="104"/>
        <v>2029</v>
      </c>
      <c r="L312" s="261">
        <f t="shared" si="104"/>
        <v>2030</v>
      </c>
      <c r="M312" s="261">
        <f t="shared" si="104"/>
        <v>2031</v>
      </c>
      <c r="N312" s="261">
        <f t="shared" si="104"/>
        <v>2032</v>
      </c>
      <c r="O312" s="261">
        <f t="shared" si="104"/>
        <v>2033</v>
      </c>
      <c r="P312" s="261">
        <f t="shared" si="104"/>
        <v>2034</v>
      </c>
      <c r="Q312" s="261">
        <f t="shared" si="104"/>
        <v>2035</v>
      </c>
      <c r="R312" s="261">
        <f t="shared" si="104"/>
        <v>2036</v>
      </c>
      <c r="S312" s="261">
        <f t="shared" si="104"/>
        <v>2037</v>
      </c>
      <c r="T312" s="261">
        <f t="shared" si="104"/>
        <v>2038</v>
      </c>
      <c r="U312" s="261">
        <f t="shared" si="104"/>
        <v>2039</v>
      </c>
      <c r="V312" s="613"/>
    </row>
    <row r="313" spans="1:22" s="297" customFormat="1" ht="12.75" hidden="1" customHeight="1" x14ac:dyDescent="0.25">
      <c r="A313" s="296"/>
      <c r="B313" s="261" t="str">
        <f>B300</f>
        <v>AUD.</v>
      </c>
      <c r="C313" s="261" t="str">
        <f>C300</f>
        <v>AUD.</v>
      </c>
      <c r="D313" s="261" t="str">
        <f t="shared" ref="D313:U313" si="105">D300</f>
        <v>AUD.</v>
      </c>
      <c r="E313" s="261" t="str">
        <f t="shared" si="105"/>
        <v>EST.</v>
      </c>
      <c r="F313" s="261" t="str">
        <f t="shared" si="105"/>
        <v>PROJ.</v>
      </c>
      <c r="G313" s="261" t="str">
        <f t="shared" si="105"/>
        <v>PROJ.</v>
      </c>
      <c r="H313" s="261" t="str">
        <f t="shared" si="105"/>
        <v>PROJ.</v>
      </c>
      <c r="I313" s="261" t="str">
        <f t="shared" si="105"/>
        <v>PROJ.</v>
      </c>
      <c r="J313" s="261" t="str">
        <f t="shared" si="105"/>
        <v>PROJ.</v>
      </c>
      <c r="K313" s="261" t="str">
        <f t="shared" si="105"/>
        <v>PROJ.</v>
      </c>
      <c r="L313" s="261" t="str">
        <f t="shared" si="105"/>
        <v>PROJ.</v>
      </c>
      <c r="M313" s="261" t="str">
        <f t="shared" si="105"/>
        <v>PROJ.</v>
      </c>
      <c r="N313" s="261" t="str">
        <f t="shared" si="105"/>
        <v>PROJ.</v>
      </c>
      <c r="O313" s="261" t="str">
        <f t="shared" si="105"/>
        <v>PROJ.</v>
      </c>
      <c r="P313" s="261" t="str">
        <f t="shared" si="105"/>
        <v>PROJ.</v>
      </c>
      <c r="Q313" s="261" t="str">
        <f t="shared" si="105"/>
        <v>PROJ.</v>
      </c>
      <c r="R313" s="261" t="str">
        <f t="shared" si="105"/>
        <v>PROJ.</v>
      </c>
      <c r="S313" s="261" t="str">
        <f t="shared" si="105"/>
        <v>PROJ.</v>
      </c>
      <c r="T313" s="261" t="str">
        <f t="shared" si="105"/>
        <v>PROJ.</v>
      </c>
      <c r="U313" s="261" t="str">
        <f t="shared" si="105"/>
        <v>PROJ.</v>
      </c>
      <c r="V313" s="613"/>
    </row>
    <row r="314" spans="1:22" ht="25.5" hidden="1" customHeight="1" x14ac:dyDescent="0.2">
      <c r="A314" s="287" t="s">
        <v>454</v>
      </c>
      <c r="B314" s="256" t="str">
        <f>IF(ISERROR('Cash Flow'!B246),"",IF('Cash Flow'!B246=0,"",'Cash Flow'!B246))</f>
        <v/>
      </c>
      <c r="C314" s="256" t="str">
        <f>IF(ISERROR('Cash Flow'!C246),"",IF('Cash Flow'!C246=0,"",'Cash Flow'!C246))</f>
        <v/>
      </c>
      <c r="D314" s="256" t="str">
        <f>IF(ISERROR('Cash Flow'!D246),"",IF('Cash Flow'!D246=0,"",'Cash Flow'!D246))</f>
        <v/>
      </c>
      <c r="E314" s="256" t="str">
        <f>IF(ISERROR('Cash Flow'!E246),"",IF('Cash Flow'!E246=0,"",'Cash Flow'!E246))</f>
        <v/>
      </c>
      <c r="F314" s="256" t="str">
        <f>IF(ISERROR('Cash Flow'!F246),"",IF('Cash Flow'!F246=0,"",'Cash Flow'!F246))</f>
        <v/>
      </c>
      <c r="G314" s="256" t="str">
        <f>IF(ISERROR('Cash Flow'!G246),"",IF('Cash Flow'!G246=0,"",'Cash Flow'!G246))</f>
        <v/>
      </c>
      <c r="H314" s="256" t="str">
        <f>IF(ISERROR('Cash Flow'!H246),"",IF('Cash Flow'!H246=0,"",'Cash Flow'!H246))</f>
        <v/>
      </c>
      <c r="I314" s="256" t="str">
        <f>IF(ISERROR('Cash Flow'!I246),"",IF('Cash Flow'!I246=0,"",'Cash Flow'!I246))</f>
        <v/>
      </c>
      <c r="J314" s="256" t="str">
        <f>IF(ISERROR('Cash Flow'!J246),"",IF('Cash Flow'!J246=0,"",'Cash Flow'!J246))</f>
        <v/>
      </c>
      <c r="K314" s="256" t="str">
        <f>IF(ISERROR('Cash Flow'!K246),"",IF('Cash Flow'!K246=0,"",'Cash Flow'!K246))</f>
        <v/>
      </c>
      <c r="L314" s="256" t="str">
        <f>IF(ISERROR('Cash Flow'!L246),"",IF('Cash Flow'!L246=0,"",'Cash Flow'!L246))</f>
        <v/>
      </c>
      <c r="M314" s="256" t="str">
        <f>IF(ISERROR('Cash Flow'!M246),"",IF('Cash Flow'!M246=0,"",'Cash Flow'!M246))</f>
        <v/>
      </c>
      <c r="N314" s="256" t="str">
        <f>IF(ISERROR('Cash Flow'!N246),"",IF('Cash Flow'!N246=0,"",'Cash Flow'!N246))</f>
        <v/>
      </c>
      <c r="O314" s="256" t="str">
        <f>IF(ISERROR('Cash Flow'!O246),"",IF('Cash Flow'!O246=0,"",'Cash Flow'!O246))</f>
        <v/>
      </c>
      <c r="P314" s="256" t="str">
        <f>IF(ISERROR('Cash Flow'!P246),"",IF('Cash Flow'!P246=0,"",'Cash Flow'!P246))</f>
        <v/>
      </c>
      <c r="Q314" s="256" t="str">
        <f>IF(ISERROR('Cash Flow'!Q246),"",IF('Cash Flow'!Q246=0,"",'Cash Flow'!Q246))</f>
        <v/>
      </c>
      <c r="R314" s="256" t="str">
        <f>IF(ISERROR('Cash Flow'!R246),"",IF('Cash Flow'!R246=0,"",'Cash Flow'!R246))</f>
        <v/>
      </c>
      <c r="S314" s="256" t="str">
        <f>IF(ISERROR('Cash Flow'!S246),"",IF('Cash Flow'!S246=0,"",'Cash Flow'!S246))</f>
        <v/>
      </c>
      <c r="T314" s="256" t="str">
        <f>IF(ISERROR('Cash Flow'!T246),"",IF('Cash Flow'!T246=0,"",'Cash Flow'!T246))</f>
        <v/>
      </c>
      <c r="U314" s="256" t="str">
        <f>IF(ISERROR('Cash Flow'!U246),"",IF('Cash Flow'!U246=0,"",'Cash Flow'!U246))</f>
        <v/>
      </c>
      <c r="V314" s="612"/>
    </row>
    <row r="315" spans="1:22" ht="25.5" hidden="1" customHeight="1" x14ac:dyDescent="0.2">
      <c r="A315" s="287" t="s">
        <v>455</v>
      </c>
      <c r="B315" s="256" t="str">
        <f>IF(ISERROR('Cash Flow'!B257),"",IF('Cash Flow'!B257=0,"",'Cash Flow'!B257))</f>
        <v/>
      </c>
      <c r="C315" s="256" t="str">
        <f>IF(ISERROR('Cash Flow'!C257),"",IF('Cash Flow'!C257=0,"",'Cash Flow'!C257))</f>
        <v/>
      </c>
      <c r="D315" s="256" t="str">
        <f>IF(ISERROR('Cash Flow'!D257),"",IF('Cash Flow'!D257=0,"",'Cash Flow'!D257))</f>
        <v/>
      </c>
      <c r="E315" s="256" t="str">
        <f>IF(ISERROR('Cash Flow'!E257),"",IF('Cash Flow'!E257=0,"",'Cash Flow'!E257))</f>
        <v/>
      </c>
      <c r="F315" s="256" t="str">
        <f>IF(ISERROR('Cash Flow'!F257),"",IF('Cash Flow'!F257=0,"",'Cash Flow'!F257))</f>
        <v/>
      </c>
      <c r="G315" s="256" t="str">
        <f>IF(ISERROR('Cash Flow'!G257),"",IF('Cash Flow'!G257=0,"",'Cash Flow'!G257))</f>
        <v/>
      </c>
      <c r="H315" s="256" t="str">
        <f>IF(ISERROR('Cash Flow'!H257),"",IF('Cash Flow'!H257=0,"",'Cash Flow'!H257))</f>
        <v/>
      </c>
      <c r="I315" s="256" t="str">
        <f>IF(ISERROR('Cash Flow'!I257),"",IF('Cash Flow'!I257=0,"",'Cash Flow'!I257))</f>
        <v/>
      </c>
      <c r="J315" s="256" t="str">
        <f>IF(ISERROR('Cash Flow'!J257),"",IF('Cash Flow'!J257=0,"",'Cash Flow'!J257))</f>
        <v/>
      </c>
      <c r="K315" s="256" t="str">
        <f>IF(ISERROR('Cash Flow'!K257),"",IF('Cash Flow'!K257=0,"",'Cash Flow'!K257))</f>
        <v/>
      </c>
      <c r="L315" s="256" t="str">
        <f>IF(ISERROR('Cash Flow'!L257),"",IF('Cash Flow'!L257=0,"",'Cash Flow'!L257))</f>
        <v/>
      </c>
      <c r="M315" s="256" t="str">
        <f>IF(ISERROR('Cash Flow'!M257),"",IF('Cash Flow'!M257=0,"",'Cash Flow'!M257))</f>
        <v/>
      </c>
      <c r="N315" s="256" t="str">
        <f>IF(ISERROR('Cash Flow'!N257),"",IF('Cash Flow'!N257=0,"",'Cash Flow'!N257))</f>
        <v/>
      </c>
      <c r="O315" s="256" t="str">
        <f>IF(ISERROR('Cash Flow'!O257),"",IF('Cash Flow'!O257=0,"",'Cash Flow'!O257))</f>
        <v/>
      </c>
      <c r="P315" s="256" t="str">
        <f>IF(ISERROR('Cash Flow'!P257),"",IF('Cash Flow'!P257=0,"",'Cash Flow'!P257))</f>
        <v/>
      </c>
      <c r="Q315" s="256" t="str">
        <f>IF(ISERROR('Cash Flow'!Q257),"",IF('Cash Flow'!Q257=0,"",'Cash Flow'!Q257))</f>
        <v/>
      </c>
      <c r="R315" s="256" t="str">
        <f>IF(ISERROR('Cash Flow'!R257),"",IF('Cash Flow'!R257=0,"",'Cash Flow'!R257))</f>
        <v/>
      </c>
      <c r="S315" s="256" t="str">
        <f>IF(ISERROR('Cash Flow'!S257),"",IF('Cash Flow'!S257=0,"",'Cash Flow'!S257))</f>
        <v/>
      </c>
      <c r="T315" s="256" t="str">
        <f>IF(ISERROR('Cash Flow'!T257),"",IF('Cash Flow'!T257=0,"",'Cash Flow'!T257))</f>
        <v/>
      </c>
      <c r="U315" s="256" t="str">
        <f>IF(ISERROR('Cash Flow'!U257),"",IF('Cash Flow'!U257=0,"",'Cash Flow'!U257))</f>
        <v/>
      </c>
      <c r="V315" s="612"/>
    </row>
    <row r="316" spans="1:22" ht="25.5" hidden="1" customHeight="1" x14ac:dyDescent="0.2">
      <c r="A316" s="287" t="s">
        <v>839</v>
      </c>
      <c r="B316" s="256" t="str">
        <f>IF(ISERROR('Cash Flow'!B268),"",IF('Cash Flow'!B268=0,"",'Cash Flow'!B268))</f>
        <v/>
      </c>
      <c r="C316" s="256" t="str">
        <f>IF(ISERROR('Cash Flow'!C268),"",IF('Cash Flow'!C268=0,"",'Cash Flow'!C268))</f>
        <v/>
      </c>
      <c r="D316" s="256" t="str">
        <f>IF(ISERROR('Cash Flow'!D268),"",IF('Cash Flow'!D268=0,"",'Cash Flow'!D268))</f>
        <v/>
      </c>
      <c r="E316" s="256" t="str">
        <f>IF(ISERROR('Cash Flow'!E268),"",IF('Cash Flow'!E268=0,"",'Cash Flow'!E268))</f>
        <v/>
      </c>
      <c r="F316" s="256" t="str">
        <f>IF(ISERROR('Cash Flow'!F268),"",IF('Cash Flow'!F268=0,"",'Cash Flow'!F268))</f>
        <v/>
      </c>
      <c r="G316" s="256" t="str">
        <f>IF(ISERROR('Cash Flow'!G268),"",IF('Cash Flow'!G268=0,"",'Cash Flow'!G268))</f>
        <v/>
      </c>
      <c r="H316" s="256" t="str">
        <f>IF(ISERROR('Cash Flow'!H268),"",IF('Cash Flow'!H268=0,"",'Cash Flow'!H268))</f>
        <v/>
      </c>
      <c r="I316" s="256" t="str">
        <f>IF(ISERROR('Cash Flow'!I268),"",IF('Cash Flow'!I268=0,"",'Cash Flow'!I268))</f>
        <v/>
      </c>
      <c r="J316" s="256" t="str">
        <f>IF(ISERROR('Cash Flow'!J268),"",IF('Cash Flow'!J268=0,"",'Cash Flow'!J268))</f>
        <v/>
      </c>
      <c r="K316" s="256" t="str">
        <f>IF(ISERROR('Cash Flow'!K268),"",IF('Cash Flow'!K268=0,"",'Cash Flow'!K268))</f>
        <v/>
      </c>
      <c r="L316" s="256" t="str">
        <f>IF(ISERROR('Cash Flow'!L268),"",IF('Cash Flow'!L268=0,"",'Cash Flow'!L268))</f>
        <v/>
      </c>
      <c r="M316" s="256" t="str">
        <f>IF(ISERROR('Cash Flow'!M268),"",IF('Cash Flow'!M268=0,"",'Cash Flow'!M268))</f>
        <v/>
      </c>
      <c r="N316" s="256" t="str">
        <f>IF(ISERROR('Cash Flow'!N268),"",IF('Cash Flow'!N268=0,"",'Cash Flow'!N268))</f>
        <v/>
      </c>
      <c r="O316" s="256" t="str">
        <f>IF(ISERROR('Cash Flow'!O268),"",IF('Cash Flow'!O268=0,"",'Cash Flow'!O268))</f>
        <v/>
      </c>
      <c r="P316" s="256" t="str">
        <f>IF(ISERROR('Cash Flow'!P268),"",IF('Cash Flow'!P268=0,"",'Cash Flow'!P268))</f>
        <v/>
      </c>
      <c r="Q316" s="256" t="str">
        <f>IF(ISERROR('Cash Flow'!Q268),"",IF('Cash Flow'!Q268=0,"",'Cash Flow'!Q268))</f>
        <v/>
      </c>
      <c r="R316" s="256" t="str">
        <f>IF(ISERROR('Cash Flow'!R268),"",IF('Cash Flow'!R268=0,"",'Cash Flow'!R268))</f>
        <v/>
      </c>
      <c r="S316" s="256" t="str">
        <f>IF(ISERROR('Cash Flow'!S268),"",IF('Cash Flow'!S268=0,"",'Cash Flow'!S268))</f>
        <v/>
      </c>
      <c r="T316" s="256" t="str">
        <f>IF(ISERROR('Cash Flow'!T268),"",IF('Cash Flow'!T268=0,"",'Cash Flow'!T268))</f>
        <v/>
      </c>
      <c r="U316" s="256" t="str">
        <f>IF(ISERROR('Cash Flow'!U268),"",IF('Cash Flow'!U268=0,"",'Cash Flow'!U268))</f>
        <v/>
      </c>
      <c r="V316" s="612"/>
    </row>
    <row r="317" spans="1:22" s="304" customFormat="1" ht="18" hidden="1" customHeight="1" x14ac:dyDescent="0.25">
      <c r="A317" s="285" t="s">
        <v>485</v>
      </c>
      <c r="B317" s="281" t="str">
        <f>IF(ISERROR('Cash Flow'!B270),"",IF('Cash Flow'!B270=0,"",'Cash Flow'!B270))</f>
        <v/>
      </c>
      <c r="C317" s="281" t="str">
        <f>IF(ISERROR('Cash Flow'!C270),"",IF('Cash Flow'!C270=0,"",'Cash Flow'!C270))</f>
        <v/>
      </c>
      <c r="D317" s="281" t="str">
        <f>IF(ISERROR('Cash Flow'!D270),"",IF('Cash Flow'!D270=0,"",'Cash Flow'!D270))</f>
        <v/>
      </c>
      <c r="E317" s="281" t="str">
        <f>IF(ISERROR('Cash Flow'!E270),"",IF('Cash Flow'!E270=0,"",'Cash Flow'!E270))</f>
        <v/>
      </c>
      <c r="F317" s="281" t="str">
        <f>IF(ISERROR('Cash Flow'!F270),"",IF('Cash Flow'!F270=0,"",'Cash Flow'!F270))</f>
        <v/>
      </c>
      <c r="G317" s="281" t="str">
        <f>IF(ISERROR('Cash Flow'!G270),"",IF('Cash Flow'!G270=0,"",'Cash Flow'!G270))</f>
        <v/>
      </c>
      <c r="H317" s="281" t="str">
        <f>IF(ISERROR('Cash Flow'!H270),"",IF('Cash Flow'!H270=0,"",'Cash Flow'!H270))</f>
        <v/>
      </c>
      <c r="I317" s="281" t="str">
        <f>IF(ISERROR('Cash Flow'!I270),"",IF('Cash Flow'!I270=0,"",'Cash Flow'!I270))</f>
        <v/>
      </c>
      <c r="J317" s="281" t="str">
        <f>IF(ISERROR('Cash Flow'!J270),"",IF('Cash Flow'!J270=0,"",'Cash Flow'!J270))</f>
        <v/>
      </c>
      <c r="K317" s="281" t="str">
        <f>IF(ISERROR('Cash Flow'!K270),"",IF('Cash Flow'!K270=0,"",'Cash Flow'!K270))</f>
        <v/>
      </c>
      <c r="L317" s="281" t="str">
        <f>IF(ISERROR('Cash Flow'!L270),"",IF('Cash Flow'!L270=0,"",'Cash Flow'!L270))</f>
        <v/>
      </c>
      <c r="M317" s="281" t="str">
        <f>IF(ISERROR('Cash Flow'!M270),"",IF('Cash Flow'!M270=0,"",'Cash Flow'!M270))</f>
        <v/>
      </c>
      <c r="N317" s="281" t="str">
        <f>IF(ISERROR('Cash Flow'!N270),"",IF('Cash Flow'!N270=0,"",'Cash Flow'!N270))</f>
        <v/>
      </c>
      <c r="O317" s="281" t="str">
        <f>IF(ISERROR('Cash Flow'!O270),"",IF('Cash Flow'!O270=0,"",'Cash Flow'!O270))</f>
        <v/>
      </c>
      <c r="P317" s="281" t="str">
        <f>IF(ISERROR('Cash Flow'!P270),"",IF('Cash Flow'!P270=0,"",'Cash Flow'!P270))</f>
        <v/>
      </c>
      <c r="Q317" s="281" t="str">
        <f>IF(ISERROR('Cash Flow'!Q270),"",IF('Cash Flow'!Q270=0,"",'Cash Flow'!Q270))</f>
        <v/>
      </c>
      <c r="R317" s="281" t="str">
        <f>IF(ISERROR('Cash Flow'!R270),"",IF('Cash Flow'!R270=0,"",'Cash Flow'!R270))</f>
        <v/>
      </c>
      <c r="S317" s="281" t="str">
        <f>IF(ISERROR('Cash Flow'!S270),"",IF('Cash Flow'!S270=0,"",'Cash Flow'!S270))</f>
        <v/>
      </c>
      <c r="T317" s="281" t="str">
        <f>IF(ISERROR('Cash Flow'!T270),"",IF('Cash Flow'!T270=0,"",'Cash Flow'!T270))</f>
        <v/>
      </c>
      <c r="U317" s="281" t="str">
        <f>IF(ISERROR('Cash Flow'!U270),"",IF('Cash Flow'!U270=0,"",'Cash Flow'!U270))</f>
        <v/>
      </c>
      <c r="V317" s="620"/>
    </row>
    <row r="318" spans="1:22" ht="13.5" hidden="1" customHeight="1" x14ac:dyDescent="0.25">
      <c r="A318" s="259" t="s">
        <v>459</v>
      </c>
      <c r="B318" s="255"/>
      <c r="C318" s="255"/>
      <c r="D318" s="255"/>
      <c r="E318" s="255"/>
      <c r="F318" s="255"/>
      <c r="G318" s="255"/>
      <c r="H318" s="255"/>
      <c r="I318" s="255"/>
      <c r="J318" s="255"/>
      <c r="K318" s="255"/>
      <c r="L318" s="255"/>
      <c r="M318" s="255"/>
      <c r="N318" s="255"/>
      <c r="O318" s="255"/>
      <c r="P318" s="255"/>
      <c r="Q318" s="255"/>
      <c r="R318" s="255"/>
      <c r="S318" s="255"/>
      <c r="T318" s="255"/>
      <c r="U318" s="255"/>
      <c r="V318" s="612"/>
    </row>
    <row r="319" spans="1:22" s="297" customFormat="1" ht="12.75" hidden="1" customHeight="1" x14ac:dyDescent="0.25">
      <c r="A319" s="296"/>
      <c r="B319" s="261">
        <f>B225</f>
        <v>2020</v>
      </c>
      <c r="C319" s="261">
        <f>C225</f>
        <v>2021</v>
      </c>
      <c r="D319" s="261">
        <f t="shared" ref="D319:U319" si="106">D225</f>
        <v>2022</v>
      </c>
      <c r="E319" s="261">
        <f t="shared" si="106"/>
        <v>2023</v>
      </c>
      <c r="F319" s="261">
        <f t="shared" si="106"/>
        <v>2024</v>
      </c>
      <c r="G319" s="261">
        <f t="shared" si="106"/>
        <v>2025</v>
      </c>
      <c r="H319" s="261">
        <f t="shared" si="106"/>
        <v>2026</v>
      </c>
      <c r="I319" s="261">
        <f t="shared" si="106"/>
        <v>2027</v>
      </c>
      <c r="J319" s="261">
        <f t="shared" si="106"/>
        <v>2028</v>
      </c>
      <c r="K319" s="261">
        <f t="shared" si="106"/>
        <v>2029</v>
      </c>
      <c r="L319" s="261">
        <f t="shared" si="106"/>
        <v>2030</v>
      </c>
      <c r="M319" s="261">
        <f t="shared" si="106"/>
        <v>2031</v>
      </c>
      <c r="N319" s="261">
        <f t="shared" si="106"/>
        <v>2032</v>
      </c>
      <c r="O319" s="261">
        <f t="shared" si="106"/>
        <v>2033</v>
      </c>
      <c r="P319" s="261">
        <f t="shared" si="106"/>
        <v>2034</v>
      </c>
      <c r="Q319" s="261">
        <f t="shared" si="106"/>
        <v>2035</v>
      </c>
      <c r="R319" s="261">
        <f t="shared" si="106"/>
        <v>2036</v>
      </c>
      <c r="S319" s="261">
        <f t="shared" si="106"/>
        <v>2037</v>
      </c>
      <c r="T319" s="261">
        <f t="shared" si="106"/>
        <v>2038</v>
      </c>
      <c r="U319" s="261">
        <f t="shared" si="106"/>
        <v>2039</v>
      </c>
      <c r="V319" s="613"/>
    </row>
    <row r="320" spans="1:22" s="297" customFormat="1" ht="12.75" hidden="1" customHeight="1" x14ac:dyDescent="0.25">
      <c r="A320" s="296"/>
      <c r="B320" s="261" t="str">
        <f>B313</f>
        <v>AUD.</v>
      </c>
      <c r="C320" s="261" t="str">
        <f>C313</f>
        <v>AUD.</v>
      </c>
      <c r="D320" s="261" t="str">
        <f t="shared" ref="D320:U320" si="107">D313</f>
        <v>AUD.</v>
      </c>
      <c r="E320" s="261" t="str">
        <f t="shared" si="107"/>
        <v>EST.</v>
      </c>
      <c r="F320" s="261" t="str">
        <f t="shared" si="107"/>
        <v>PROJ.</v>
      </c>
      <c r="G320" s="261" t="str">
        <f t="shared" si="107"/>
        <v>PROJ.</v>
      </c>
      <c r="H320" s="261" t="str">
        <f t="shared" si="107"/>
        <v>PROJ.</v>
      </c>
      <c r="I320" s="261" t="str">
        <f t="shared" si="107"/>
        <v>PROJ.</v>
      </c>
      <c r="J320" s="261" t="str">
        <f t="shared" si="107"/>
        <v>PROJ.</v>
      </c>
      <c r="K320" s="261" t="str">
        <f t="shared" si="107"/>
        <v>PROJ.</v>
      </c>
      <c r="L320" s="261" t="str">
        <f t="shared" si="107"/>
        <v>PROJ.</v>
      </c>
      <c r="M320" s="261" t="str">
        <f t="shared" si="107"/>
        <v>PROJ.</v>
      </c>
      <c r="N320" s="261" t="str">
        <f t="shared" si="107"/>
        <v>PROJ.</v>
      </c>
      <c r="O320" s="261" t="str">
        <f t="shared" si="107"/>
        <v>PROJ.</v>
      </c>
      <c r="P320" s="261" t="str">
        <f t="shared" si="107"/>
        <v>PROJ.</v>
      </c>
      <c r="Q320" s="261" t="str">
        <f t="shared" si="107"/>
        <v>PROJ.</v>
      </c>
      <c r="R320" s="261" t="str">
        <f t="shared" si="107"/>
        <v>PROJ.</v>
      </c>
      <c r="S320" s="261" t="str">
        <f t="shared" si="107"/>
        <v>PROJ.</v>
      </c>
      <c r="T320" s="261" t="str">
        <f t="shared" si="107"/>
        <v>PROJ.</v>
      </c>
      <c r="U320" s="261" t="str">
        <f t="shared" si="107"/>
        <v>PROJ.</v>
      </c>
      <c r="V320" s="613"/>
    </row>
    <row r="321" spans="1:22" ht="14.25" hidden="1" customHeight="1" x14ac:dyDescent="0.2">
      <c r="A321" s="287" t="s">
        <v>396</v>
      </c>
      <c r="B321" s="256">
        <f>B229</f>
        <v>0.8</v>
      </c>
      <c r="C321" s="256">
        <f>C229</f>
        <v>1.05</v>
      </c>
      <c r="D321" s="256">
        <f t="shared" ref="D321:U321" si="108">D229</f>
        <v>2.2000000000000002</v>
      </c>
      <c r="E321" s="256">
        <f t="shared" si="108"/>
        <v>4</v>
      </c>
      <c r="F321" s="256">
        <f t="shared" si="108"/>
        <v>20</v>
      </c>
      <c r="G321" s="256">
        <f t="shared" si="108"/>
        <v>34.28</v>
      </c>
      <c r="H321" s="256">
        <f t="shared" si="108"/>
        <v>40.42</v>
      </c>
      <c r="I321" s="256">
        <f t="shared" si="108"/>
        <v>44.09</v>
      </c>
      <c r="J321" s="256">
        <f t="shared" si="108"/>
        <v>47.96</v>
      </c>
      <c r="K321" s="256">
        <f t="shared" si="108"/>
        <v>52.03</v>
      </c>
      <c r="L321" s="256">
        <f t="shared" si="108"/>
        <v>56.2</v>
      </c>
      <c r="M321" s="256" t="str">
        <f t="shared" si="108"/>
        <v/>
      </c>
      <c r="N321" s="256" t="str">
        <f t="shared" si="108"/>
        <v/>
      </c>
      <c r="O321" s="256" t="str">
        <f t="shared" si="108"/>
        <v/>
      </c>
      <c r="P321" s="256" t="str">
        <f t="shared" si="108"/>
        <v/>
      </c>
      <c r="Q321" s="256" t="str">
        <f t="shared" si="108"/>
        <v/>
      </c>
      <c r="R321" s="256" t="str">
        <f t="shared" si="108"/>
        <v/>
      </c>
      <c r="S321" s="256" t="str">
        <f t="shared" si="108"/>
        <v/>
      </c>
      <c r="T321" s="256" t="str">
        <f t="shared" si="108"/>
        <v/>
      </c>
      <c r="U321" s="256" t="str">
        <f t="shared" si="108"/>
        <v/>
      </c>
      <c r="V321" s="612"/>
    </row>
    <row r="322" spans="1:22" ht="14.25" hidden="1" customHeight="1" x14ac:dyDescent="0.2">
      <c r="A322" s="287" t="s">
        <v>45</v>
      </c>
      <c r="B322" s="256">
        <f>B251</f>
        <v>0.21000000000000002</v>
      </c>
      <c r="C322" s="256">
        <f>C251</f>
        <v>0.37000000000000005</v>
      </c>
      <c r="D322" s="256">
        <f t="shared" ref="D322:U322" si="109">D251</f>
        <v>0.69</v>
      </c>
      <c r="E322" s="256">
        <f t="shared" si="109"/>
        <v>1.0699999999999998</v>
      </c>
      <c r="F322" s="256">
        <f t="shared" si="109"/>
        <v>6.3599999999999994</v>
      </c>
      <c r="G322" s="256">
        <f t="shared" si="109"/>
        <v>9.5449131250000008</v>
      </c>
      <c r="H322" s="256">
        <f t="shared" si="109"/>
        <v>12.09309575</v>
      </c>
      <c r="I322" s="256">
        <f t="shared" si="109"/>
        <v>13.575555187500001</v>
      </c>
      <c r="J322" s="256">
        <f t="shared" si="109"/>
        <v>14.913204124999998</v>
      </c>
      <c r="K322" s="256">
        <f t="shared" si="109"/>
        <v>16.003058750000001</v>
      </c>
      <c r="L322" s="256">
        <f t="shared" si="109"/>
        <v>16.699407812500002</v>
      </c>
      <c r="M322" s="256" t="str">
        <f t="shared" si="109"/>
        <v/>
      </c>
      <c r="N322" s="256" t="str">
        <f t="shared" si="109"/>
        <v/>
      </c>
      <c r="O322" s="256" t="str">
        <f t="shared" si="109"/>
        <v/>
      </c>
      <c r="P322" s="256" t="str">
        <f t="shared" si="109"/>
        <v/>
      </c>
      <c r="Q322" s="256" t="str">
        <f t="shared" si="109"/>
        <v/>
      </c>
      <c r="R322" s="256" t="str">
        <f t="shared" si="109"/>
        <v/>
      </c>
      <c r="S322" s="256" t="str">
        <f t="shared" si="109"/>
        <v/>
      </c>
      <c r="T322" s="256" t="str">
        <f t="shared" si="109"/>
        <v/>
      </c>
      <c r="U322" s="256" t="str">
        <f t="shared" si="109"/>
        <v/>
      </c>
      <c r="V322" s="612"/>
    </row>
    <row r="323" spans="1:22" ht="14.25" hidden="1" customHeight="1" x14ac:dyDescent="0.2">
      <c r="A323" s="287" t="s">
        <v>35</v>
      </c>
      <c r="B323" s="256">
        <f>B255</f>
        <v>6.9999999999999979E-2</v>
      </c>
      <c r="C323" s="256">
        <f>C255</f>
        <v>0.09</v>
      </c>
      <c r="D323" s="256">
        <f t="shared" ref="D323:U323" si="110">D255</f>
        <v>0.27000000000000018</v>
      </c>
      <c r="E323" s="256">
        <f t="shared" si="110"/>
        <v>0.21699999999999989</v>
      </c>
      <c r="F323" s="256">
        <f t="shared" si="110"/>
        <v>0.56000000000000028</v>
      </c>
      <c r="G323" s="256">
        <f t="shared" si="110"/>
        <v>1.1975075000000017</v>
      </c>
      <c r="H323" s="256">
        <f t="shared" si="110"/>
        <v>1.627409000000001</v>
      </c>
      <c r="I323" s="256">
        <f t="shared" si="110"/>
        <v>1.8217272499999999</v>
      </c>
      <c r="J323" s="256">
        <f t="shared" si="110"/>
        <v>2.0010794999999959</v>
      </c>
      <c r="K323" s="256">
        <f t="shared" si="110"/>
        <v>2.2184050000000006</v>
      </c>
      <c r="L323" s="256">
        <f t="shared" si="110"/>
        <v>2.5492687499999991</v>
      </c>
      <c r="M323" s="256" t="str">
        <f t="shared" si="110"/>
        <v/>
      </c>
      <c r="N323" s="256" t="str">
        <f t="shared" si="110"/>
        <v/>
      </c>
      <c r="O323" s="256" t="str">
        <f t="shared" si="110"/>
        <v/>
      </c>
      <c r="P323" s="256" t="str">
        <f t="shared" si="110"/>
        <v/>
      </c>
      <c r="Q323" s="256" t="str">
        <f t="shared" si="110"/>
        <v/>
      </c>
      <c r="R323" s="256" t="str">
        <f t="shared" si="110"/>
        <v/>
      </c>
      <c r="S323" s="256" t="str">
        <f t="shared" si="110"/>
        <v/>
      </c>
      <c r="T323" s="256" t="str">
        <f t="shared" si="110"/>
        <v/>
      </c>
      <c r="U323" s="256" t="str">
        <f t="shared" si="110"/>
        <v/>
      </c>
      <c r="V323" s="612"/>
    </row>
    <row r="324" spans="1:22" ht="14.25" hidden="1" customHeight="1" x14ac:dyDescent="0.2">
      <c r="A324" s="287" t="s">
        <v>47</v>
      </c>
      <c r="B324" s="256">
        <f>B263</f>
        <v>9.9999999999999978E-2</v>
      </c>
      <c r="C324" s="256">
        <f>C263</f>
        <v>0.11</v>
      </c>
      <c r="D324" s="256">
        <f t="shared" ref="D324:U324" si="111">D263</f>
        <v>0.2900000000000002</v>
      </c>
      <c r="E324" s="256">
        <f t="shared" si="111"/>
        <v>0.23699999999999988</v>
      </c>
      <c r="F324" s="256">
        <f t="shared" si="111"/>
        <v>2.1300000000000003</v>
      </c>
      <c r="G324" s="256">
        <f t="shared" si="111"/>
        <v>3.6775075000000017</v>
      </c>
      <c r="H324" s="256">
        <f t="shared" si="111"/>
        <v>3.7874090000000011</v>
      </c>
      <c r="I324" s="256">
        <f t="shared" si="111"/>
        <v>3.7017272499999998</v>
      </c>
      <c r="J324" s="256">
        <f t="shared" si="111"/>
        <v>3.6410794999999956</v>
      </c>
      <c r="K324" s="256">
        <f t="shared" si="111"/>
        <v>3.6484050000000003</v>
      </c>
      <c r="L324" s="256">
        <f t="shared" si="111"/>
        <v>3.7892687499999989</v>
      </c>
      <c r="M324" s="256" t="str">
        <f t="shared" si="111"/>
        <v/>
      </c>
      <c r="N324" s="256" t="str">
        <f t="shared" si="111"/>
        <v/>
      </c>
      <c r="O324" s="256" t="str">
        <f t="shared" si="111"/>
        <v/>
      </c>
      <c r="P324" s="256" t="str">
        <f t="shared" si="111"/>
        <v/>
      </c>
      <c r="Q324" s="256" t="str">
        <f t="shared" si="111"/>
        <v/>
      </c>
      <c r="R324" s="256" t="str">
        <f t="shared" si="111"/>
        <v/>
      </c>
      <c r="S324" s="256" t="str">
        <f t="shared" si="111"/>
        <v/>
      </c>
      <c r="T324" s="256" t="str">
        <f t="shared" si="111"/>
        <v/>
      </c>
      <c r="U324" s="256" t="str">
        <f t="shared" si="111"/>
        <v/>
      </c>
      <c r="V324" s="612"/>
    </row>
    <row r="325" spans="1:22" ht="14.25" hidden="1" customHeight="1" x14ac:dyDescent="0.2">
      <c r="A325" s="287" t="s">
        <v>49</v>
      </c>
      <c r="B325" s="256">
        <f>B273</f>
        <v>0.01</v>
      </c>
      <c r="C325" s="256">
        <f>C273</f>
        <v>0.01</v>
      </c>
      <c r="D325" s="256">
        <f t="shared" ref="D325:U325" si="112">D273</f>
        <v>0.01</v>
      </c>
      <c r="E325" s="256">
        <f t="shared" si="112"/>
        <v>8</v>
      </c>
      <c r="F325" s="256">
        <f t="shared" si="112"/>
        <v>10.119999999999999</v>
      </c>
      <c r="G325" s="256">
        <f t="shared" si="112"/>
        <v>10.119999999999999</v>
      </c>
      <c r="H325" s="256">
        <f t="shared" si="112"/>
        <v>10.119999999999999</v>
      </c>
      <c r="I325" s="256">
        <f t="shared" si="112"/>
        <v>10.119999999999999</v>
      </c>
      <c r="J325" s="256">
        <f t="shared" si="112"/>
        <v>10.119999999999999</v>
      </c>
      <c r="K325" s="256">
        <f t="shared" si="112"/>
        <v>10.119999999999999</v>
      </c>
      <c r="L325" s="256">
        <f t="shared" si="112"/>
        <v>10.119999999999999</v>
      </c>
      <c r="M325" s="256" t="str">
        <f t="shared" si="112"/>
        <v/>
      </c>
      <c r="N325" s="256" t="str">
        <f t="shared" si="112"/>
        <v/>
      </c>
      <c r="O325" s="256" t="str">
        <f t="shared" si="112"/>
        <v/>
      </c>
      <c r="P325" s="256" t="str">
        <f t="shared" si="112"/>
        <v/>
      </c>
      <c r="Q325" s="256" t="str">
        <f t="shared" si="112"/>
        <v/>
      </c>
      <c r="R325" s="256" t="str">
        <f t="shared" si="112"/>
        <v/>
      </c>
      <c r="S325" s="256" t="str">
        <f t="shared" si="112"/>
        <v/>
      </c>
      <c r="T325" s="256" t="str">
        <f t="shared" si="112"/>
        <v/>
      </c>
      <c r="U325" s="256" t="str">
        <f t="shared" si="112"/>
        <v/>
      </c>
      <c r="V325" s="612"/>
    </row>
    <row r="326" spans="1:22" ht="14.25" hidden="1" customHeight="1" x14ac:dyDescent="0.2">
      <c r="A326" s="287" t="s">
        <v>50</v>
      </c>
      <c r="B326" s="256">
        <f>B275</f>
        <v>7.9999999999999974E-2</v>
      </c>
      <c r="C326" s="256">
        <f>C275</f>
        <v>0.16999999999999998</v>
      </c>
      <c r="D326" s="256">
        <f t="shared" ref="D326:U326" si="113">D275</f>
        <v>0.44000000000000017</v>
      </c>
      <c r="E326" s="256">
        <f t="shared" si="113"/>
        <v>8.5670000000000002</v>
      </c>
      <c r="F326" s="256">
        <f t="shared" si="113"/>
        <v>11.247</v>
      </c>
      <c r="G326" s="256">
        <f t="shared" si="113"/>
        <v>12.464507500000002</v>
      </c>
      <c r="H326" s="256">
        <f t="shared" si="113"/>
        <v>14.111916500000003</v>
      </c>
      <c r="I326" s="256">
        <f t="shared" si="113"/>
        <v>15.953643750000003</v>
      </c>
      <c r="J326" s="256">
        <f t="shared" si="113"/>
        <v>17.974723249999997</v>
      </c>
      <c r="K326" s="256">
        <f t="shared" si="113"/>
        <v>20.193128250000001</v>
      </c>
      <c r="L326" s="256">
        <f t="shared" si="113"/>
        <v>22.742396999999997</v>
      </c>
      <c r="M326" s="256">
        <f t="shared" si="113"/>
        <v>12.622396999999999</v>
      </c>
      <c r="N326" s="256">
        <f t="shared" si="113"/>
        <v>12.622396999999999</v>
      </c>
      <c r="O326" s="256">
        <f t="shared" si="113"/>
        <v>12.622396999999999</v>
      </c>
      <c r="P326" s="256">
        <f t="shared" si="113"/>
        <v>12.622396999999999</v>
      </c>
      <c r="Q326" s="256">
        <f t="shared" si="113"/>
        <v>12.622396999999999</v>
      </c>
      <c r="R326" s="256">
        <f t="shared" si="113"/>
        <v>12.622396999999999</v>
      </c>
      <c r="S326" s="256">
        <f t="shared" si="113"/>
        <v>12.622396999999999</v>
      </c>
      <c r="T326" s="256">
        <f t="shared" si="113"/>
        <v>12.622396999999999</v>
      </c>
      <c r="U326" s="256">
        <f t="shared" si="113"/>
        <v>12.622396999999999</v>
      </c>
      <c r="V326" s="612"/>
    </row>
    <row r="327" spans="1:22" ht="14.25" hidden="1" customHeight="1" x14ac:dyDescent="0.2">
      <c r="A327" s="287" t="s">
        <v>20</v>
      </c>
      <c r="B327" s="256">
        <f>B279</f>
        <v>2.5000000000000009</v>
      </c>
      <c r="C327" s="256">
        <f>C279</f>
        <v>1.5882352941176474</v>
      </c>
      <c r="D327" s="256">
        <f t="shared" ref="D327:U327" si="114">D279</f>
        <v>10.02272727272727</v>
      </c>
      <c r="E327" s="256">
        <f t="shared" si="114"/>
        <v>0.77074821991362197</v>
      </c>
      <c r="F327" s="256">
        <f t="shared" si="114"/>
        <v>1.3763670312083223</v>
      </c>
      <c r="G327" s="256">
        <f t="shared" si="114"/>
        <v>1.2012682811575188</v>
      </c>
      <c r="H327" s="256">
        <f t="shared" si="114"/>
        <v>0.97133943500870412</v>
      </c>
      <c r="I327" s="256">
        <f t="shared" si="114"/>
        <v>0.71900441239325075</v>
      </c>
      <c r="J327" s="256">
        <f t="shared" si="114"/>
        <v>0.50891495645141649</v>
      </c>
      <c r="K327" s="256">
        <f t="shared" si="114"/>
        <v>0.32638553662432224</v>
      </c>
      <c r="L327" s="256">
        <f t="shared" si="114"/>
        <v>0.1535697292594092</v>
      </c>
      <c r="M327" s="256" t="str">
        <f t="shared" si="114"/>
        <v/>
      </c>
      <c r="N327" s="256" t="str">
        <f t="shared" si="114"/>
        <v/>
      </c>
      <c r="O327" s="256" t="str">
        <f t="shared" si="114"/>
        <v/>
      </c>
      <c r="P327" s="256" t="str">
        <f t="shared" si="114"/>
        <v/>
      </c>
      <c r="Q327" s="256" t="str">
        <f t="shared" si="114"/>
        <v/>
      </c>
      <c r="R327" s="256" t="str">
        <f t="shared" si="114"/>
        <v/>
      </c>
      <c r="S327" s="256" t="str">
        <f t="shared" si="114"/>
        <v/>
      </c>
      <c r="T327" s="256" t="str">
        <f t="shared" si="114"/>
        <v/>
      </c>
      <c r="U327" s="256" t="str">
        <f t="shared" si="114"/>
        <v/>
      </c>
      <c r="V327" s="612"/>
    </row>
    <row r="328" spans="1:22" ht="14.25" hidden="1" customHeight="1" x14ac:dyDescent="0.2">
      <c r="A328" s="287" t="s">
        <v>51</v>
      </c>
      <c r="B328" s="256">
        <f>B281</f>
        <v>2.5000000000000009</v>
      </c>
      <c r="C328" s="256">
        <f>C281</f>
        <v>1.5882352941176474</v>
      </c>
      <c r="D328" s="256">
        <f t="shared" ref="D328:U328" si="115">D281</f>
        <v>10.02272727272727</v>
      </c>
      <c r="E328" s="256">
        <f t="shared" si="115"/>
        <v>0.77074821991362197</v>
      </c>
      <c r="F328" s="256">
        <f t="shared" si="115"/>
        <v>1.3763670312083223</v>
      </c>
      <c r="G328" s="256">
        <f t="shared" si="115"/>
        <v>1.2012682811575188</v>
      </c>
      <c r="H328" s="256">
        <f t="shared" si="115"/>
        <v>0.97133943500870412</v>
      </c>
      <c r="I328" s="256">
        <f t="shared" si="115"/>
        <v>0.71900441239325075</v>
      </c>
      <c r="J328" s="256">
        <f t="shared" si="115"/>
        <v>0.50891495645141649</v>
      </c>
      <c r="K328" s="256">
        <f t="shared" si="115"/>
        <v>0.32638553662432224</v>
      </c>
      <c r="L328" s="256">
        <f t="shared" si="115"/>
        <v>0.1535697292594092</v>
      </c>
      <c r="M328" s="256" t="str">
        <f t="shared" si="115"/>
        <v/>
      </c>
      <c r="N328" s="256" t="str">
        <f t="shared" si="115"/>
        <v/>
      </c>
      <c r="O328" s="256" t="str">
        <f t="shared" si="115"/>
        <v/>
      </c>
      <c r="P328" s="256" t="str">
        <f t="shared" si="115"/>
        <v/>
      </c>
      <c r="Q328" s="256" t="str">
        <f t="shared" si="115"/>
        <v/>
      </c>
      <c r="R328" s="256" t="str">
        <f t="shared" si="115"/>
        <v/>
      </c>
      <c r="S328" s="256" t="str">
        <f t="shared" si="115"/>
        <v/>
      </c>
      <c r="T328" s="256" t="str">
        <f t="shared" si="115"/>
        <v/>
      </c>
      <c r="U328" s="256" t="str">
        <f t="shared" si="115"/>
        <v/>
      </c>
      <c r="V328" s="612"/>
    </row>
    <row r="329" spans="1:22" ht="13.5" hidden="1" customHeight="1" x14ac:dyDescent="0.25">
      <c r="A329" s="259" t="s">
        <v>470</v>
      </c>
      <c r="B329" s="255"/>
      <c r="C329" s="255"/>
      <c r="D329" s="255"/>
      <c r="E329" s="255"/>
      <c r="F329" s="255"/>
      <c r="G329" s="255"/>
      <c r="H329" s="255"/>
      <c r="I329" s="255"/>
      <c r="J329" s="255"/>
      <c r="K329" s="255"/>
      <c r="L329" s="255"/>
      <c r="M329" s="255"/>
      <c r="N329" s="255"/>
      <c r="O329" s="255"/>
      <c r="P329" s="255"/>
      <c r="Q329" s="255"/>
      <c r="R329" s="255"/>
      <c r="S329" s="255"/>
      <c r="T329" s="255"/>
      <c r="U329" s="255"/>
      <c r="V329" s="612"/>
    </row>
    <row r="330" spans="1:22" s="303" customFormat="1" ht="15" hidden="1" customHeight="1" x14ac:dyDescent="0.2">
      <c r="A330" s="305" t="s">
        <v>652</v>
      </c>
      <c r="B330" s="271">
        <f>IF(ISERROR(DSCR!B267+100%),"",IF((DSCR!B267+100%)=0,"",DSCR!B267+100%))</f>
        <v>1</v>
      </c>
      <c r="C330" s="271">
        <f>IF(ISERROR(DSCR!C267+100%),"",IF((DSCR!C267+100%)=0,"",DSCR!C267+100%))</f>
        <v>1</v>
      </c>
      <c r="D330" s="271">
        <f>IF(ISERROR(DSCR!D267+100%),"",IF((DSCR!D267+100%)=0,"",DSCR!D267+100%))</f>
        <v>1</v>
      </c>
      <c r="E330" s="271">
        <f>IF(ISERROR(DSCR!E267+100%),"",IF((DSCR!E267+100%)=0,"",DSCR!E267+100%))</f>
        <v>1</v>
      </c>
      <c r="F330" s="271">
        <f>IF(ISERROR(DSCR!F267+100%),"",IF((DSCR!F267+100%)=0,"",DSCR!F267+100%))</f>
        <v>1</v>
      </c>
      <c r="G330" s="271">
        <f>IF(ISERROR(DSCR!G267+100%),"",IF((DSCR!G267+100%)=0,"",DSCR!G267+100%))</f>
        <v>1</v>
      </c>
      <c r="H330" s="271">
        <f>IF(ISERROR(DSCR!H267+100%),"",IF((DSCR!H267+100%)=0,"",DSCR!H267+100%))</f>
        <v>1</v>
      </c>
      <c r="I330" s="271">
        <f>IF(ISERROR(DSCR!I267+100%),"",IF((DSCR!I267+100%)=0,"",DSCR!I267+100%))</f>
        <v>1</v>
      </c>
      <c r="J330" s="271">
        <f>IF(ISERROR(DSCR!J267+100%),"",IF((DSCR!J267+100%)=0,"",DSCR!J267+100%))</f>
        <v>1</v>
      </c>
      <c r="K330" s="271">
        <f>IF(ISERROR(DSCR!K267+100%),"",IF((DSCR!K267+100%)=0,"",DSCR!K267+100%))</f>
        <v>1</v>
      </c>
      <c r="L330" s="271">
        <f>IF(ISERROR(DSCR!L267+100%),"",IF((DSCR!L267+100%)=0,"",DSCR!L267+100%))</f>
        <v>1</v>
      </c>
      <c r="M330" s="271">
        <f>IF(ISERROR(DSCR!M267+100%),"",IF((DSCR!M267+100%)=0,"",DSCR!M267+100%))</f>
        <v>1</v>
      </c>
      <c r="N330" s="271">
        <f>IF(ISERROR(DSCR!N267+100%),"",IF((DSCR!N267+100%)=0,"",DSCR!N267+100%))</f>
        <v>1</v>
      </c>
      <c r="O330" s="271">
        <f>IF(ISERROR(DSCR!O267+100%),"",IF((DSCR!O267+100%)=0,"",DSCR!O267+100%))</f>
        <v>1</v>
      </c>
      <c r="P330" s="271">
        <f>IF(ISERROR(DSCR!P267+100%),"",IF((DSCR!P267+100%)=0,"",DSCR!P267+100%))</f>
        <v>1</v>
      </c>
      <c r="Q330" s="271">
        <f>IF(ISERROR(DSCR!Q267+100%),"",IF((DSCR!Q267+100%)=0,"",DSCR!Q267+100%))</f>
        <v>1</v>
      </c>
      <c r="R330" s="271">
        <f>IF(ISERROR(DSCR!R267+100%),"",IF((DSCR!R267+100%)=0,"",DSCR!R267+100%))</f>
        <v>1</v>
      </c>
      <c r="S330" s="271">
        <f>IF(ISERROR(DSCR!S267+100%),"",IF((DSCR!S267+100%)=0,"",DSCR!S267+100%))</f>
        <v>1</v>
      </c>
      <c r="T330" s="271">
        <f>IF(ISERROR(DSCR!T267+100%),"",IF((DSCR!T267+100%)=0,"",DSCR!T267+100%))</f>
        <v>1</v>
      </c>
      <c r="U330" s="271">
        <f>IF(ISERROR(DSCR!U267+100%),"",IF((DSCR!U267+100%)=0,"",DSCR!U267+100%))</f>
        <v>1</v>
      </c>
      <c r="V330" s="618"/>
    </row>
    <row r="331" spans="1:22" ht="15" hidden="1" customHeight="1" x14ac:dyDescent="0.25">
      <c r="A331" s="306" t="s">
        <v>460</v>
      </c>
      <c r="B331" s="255"/>
      <c r="C331" s="255"/>
      <c r="D331" s="255"/>
      <c r="E331" s="255"/>
      <c r="F331" s="255"/>
      <c r="G331" s="255"/>
      <c r="H331" s="255"/>
      <c r="I331" s="255"/>
      <c r="J331" s="255"/>
      <c r="K331" s="255"/>
      <c r="L331" s="255"/>
      <c r="M331" s="255"/>
      <c r="N331" s="255"/>
      <c r="O331" s="255"/>
      <c r="P331" s="255"/>
      <c r="Q331" s="255"/>
      <c r="R331" s="255"/>
      <c r="S331" s="255"/>
      <c r="T331" s="255"/>
      <c r="U331" s="255"/>
      <c r="V331" s="612"/>
    </row>
    <row r="332" spans="1:22" ht="15" hidden="1" customHeight="1" x14ac:dyDescent="0.25">
      <c r="A332" s="307" t="s">
        <v>461</v>
      </c>
      <c r="B332" s="255"/>
      <c r="C332" s="255"/>
      <c r="D332" s="255"/>
      <c r="E332" s="255"/>
      <c r="F332" s="255"/>
      <c r="G332" s="255"/>
      <c r="H332" s="255"/>
      <c r="I332" s="255"/>
      <c r="J332" s="255"/>
      <c r="K332" s="255"/>
      <c r="L332" s="255"/>
      <c r="M332" s="255"/>
      <c r="N332" s="255"/>
      <c r="O332" s="255"/>
      <c r="P332" s="255"/>
      <c r="Q332" s="255"/>
      <c r="R332" s="255"/>
      <c r="S332" s="255"/>
      <c r="T332" s="255"/>
      <c r="U332" s="255"/>
      <c r="V332" s="612"/>
    </row>
    <row r="333" spans="1:22" s="297" customFormat="1" ht="12.75" hidden="1" customHeight="1" x14ac:dyDescent="0.25">
      <c r="A333" s="296"/>
      <c r="B333" s="261">
        <f>B225</f>
        <v>2020</v>
      </c>
      <c r="C333" s="261">
        <f>C225</f>
        <v>2021</v>
      </c>
      <c r="D333" s="261">
        <f t="shared" ref="D333:U333" si="116">D225</f>
        <v>2022</v>
      </c>
      <c r="E333" s="261">
        <f t="shared" si="116"/>
        <v>2023</v>
      </c>
      <c r="F333" s="261">
        <f t="shared" si="116"/>
        <v>2024</v>
      </c>
      <c r="G333" s="261">
        <f t="shared" si="116"/>
        <v>2025</v>
      </c>
      <c r="H333" s="261">
        <f t="shared" si="116"/>
        <v>2026</v>
      </c>
      <c r="I333" s="261">
        <f t="shared" si="116"/>
        <v>2027</v>
      </c>
      <c r="J333" s="261">
        <f t="shared" si="116"/>
        <v>2028</v>
      </c>
      <c r="K333" s="261">
        <f t="shared" si="116"/>
        <v>2029</v>
      </c>
      <c r="L333" s="261">
        <f t="shared" si="116"/>
        <v>2030</v>
      </c>
      <c r="M333" s="261">
        <f t="shared" si="116"/>
        <v>2031</v>
      </c>
      <c r="N333" s="261">
        <f t="shared" si="116"/>
        <v>2032</v>
      </c>
      <c r="O333" s="261">
        <f t="shared" si="116"/>
        <v>2033</v>
      </c>
      <c r="P333" s="261">
        <f t="shared" si="116"/>
        <v>2034</v>
      </c>
      <c r="Q333" s="261">
        <f t="shared" si="116"/>
        <v>2035</v>
      </c>
      <c r="R333" s="261">
        <f t="shared" si="116"/>
        <v>2036</v>
      </c>
      <c r="S333" s="261">
        <f t="shared" si="116"/>
        <v>2037</v>
      </c>
      <c r="T333" s="261">
        <f t="shared" si="116"/>
        <v>2038</v>
      </c>
      <c r="U333" s="261">
        <f t="shared" si="116"/>
        <v>2039</v>
      </c>
      <c r="V333" s="613"/>
    </row>
    <row r="334" spans="1:22" s="297" customFormat="1" ht="12.75" hidden="1" customHeight="1" x14ac:dyDescent="0.25">
      <c r="A334" s="298"/>
      <c r="B334" s="299" t="str">
        <f>B320</f>
        <v>AUD.</v>
      </c>
      <c r="C334" s="261" t="str">
        <f>C320</f>
        <v>AUD.</v>
      </c>
      <c r="D334" s="261" t="str">
        <f t="shared" ref="D334:U334" si="117">D320</f>
        <v>AUD.</v>
      </c>
      <c r="E334" s="261" t="str">
        <f t="shared" si="117"/>
        <v>EST.</v>
      </c>
      <c r="F334" s="261" t="str">
        <f t="shared" si="117"/>
        <v>PROJ.</v>
      </c>
      <c r="G334" s="261" t="str">
        <f t="shared" si="117"/>
        <v>PROJ.</v>
      </c>
      <c r="H334" s="261" t="str">
        <f t="shared" si="117"/>
        <v>PROJ.</v>
      </c>
      <c r="I334" s="261" t="str">
        <f t="shared" si="117"/>
        <v>PROJ.</v>
      </c>
      <c r="J334" s="261" t="str">
        <f t="shared" si="117"/>
        <v>PROJ.</v>
      </c>
      <c r="K334" s="261" t="str">
        <f t="shared" si="117"/>
        <v>PROJ.</v>
      </c>
      <c r="L334" s="261" t="str">
        <f t="shared" si="117"/>
        <v>PROJ.</v>
      </c>
      <c r="M334" s="261" t="str">
        <f t="shared" si="117"/>
        <v>PROJ.</v>
      </c>
      <c r="N334" s="261" t="str">
        <f t="shared" si="117"/>
        <v>PROJ.</v>
      </c>
      <c r="O334" s="261" t="str">
        <f t="shared" si="117"/>
        <v>PROJ.</v>
      </c>
      <c r="P334" s="261" t="str">
        <f t="shared" si="117"/>
        <v>PROJ.</v>
      </c>
      <c r="Q334" s="261" t="str">
        <f t="shared" si="117"/>
        <v>PROJ.</v>
      </c>
      <c r="R334" s="261" t="str">
        <f t="shared" si="117"/>
        <v>PROJ.</v>
      </c>
      <c r="S334" s="261" t="str">
        <f t="shared" si="117"/>
        <v>PROJ.</v>
      </c>
      <c r="T334" s="261" t="str">
        <f t="shared" si="117"/>
        <v>PROJ.</v>
      </c>
      <c r="U334" s="261" t="str">
        <f t="shared" si="117"/>
        <v>PROJ.</v>
      </c>
      <c r="V334" s="613"/>
    </row>
    <row r="335" spans="1:22" s="75" customFormat="1" ht="12" hidden="1" customHeight="1" x14ac:dyDescent="0.2">
      <c r="A335" s="308" t="s">
        <v>396</v>
      </c>
      <c r="B335" s="290">
        <f>B229</f>
        <v>0.8</v>
      </c>
      <c r="C335" s="290">
        <f>C229</f>
        <v>1.05</v>
      </c>
      <c r="D335" s="290">
        <f t="shared" ref="D335:U335" si="118">D229</f>
        <v>2.2000000000000002</v>
      </c>
      <c r="E335" s="290">
        <f t="shared" si="118"/>
        <v>4</v>
      </c>
      <c r="F335" s="290">
        <f t="shared" si="118"/>
        <v>20</v>
      </c>
      <c r="G335" s="290">
        <f t="shared" si="118"/>
        <v>34.28</v>
      </c>
      <c r="H335" s="290">
        <f t="shared" si="118"/>
        <v>40.42</v>
      </c>
      <c r="I335" s="290">
        <f t="shared" si="118"/>
        <v>44.09</v>
      </c>
      <c r="J335" s="290">
        <f t="shared" si="118"/>
        <v>47.96</v>
      </c>
      <c r="K335" s="290">
        <f t="shared" si="118"/>
        <v>52.03</v>
      </c>
      <c r="L335" s="290">
        <f t="shared" si="118"/>
        <v>56.2</v>
      </c>
      <c r="M335" s="290" t="str">
        <f t="shared" si="118"/>
        <v/>
      </c>
      <c r="N335" s="290" t="str">
        <f t="shared" si="118"/>
        <v/>
      </c>
      <c r="O335" s="290" t="str">
        <f t="shared" si="118"/>
        <v/>
      </c>
      <c r="P335" s="290" t="str">
        <f t="shared" si="118"/>
        <v/>
      </c>
      <c r="Q335" s="290" t="str">
        <f t="shared" si="118"/>
        <v/>
      </c>
      <c r="R335" s="290" t="str">
        <f t="shared" si="118"/>
        <v/>
      </c>
      <c r="S335" s="290" t="str">
        <f t="shared" si="118"/>
        <v/>
      </c>
      <c r="T335" s="290" t="str">
        <f t="shared" si="118"/>
        <v/>
      </c>
      <c r="U335" s="290" t="str">
        <f t="shared" si="118"/>
        <v/>
      </c>
      <c r="V335" s="621"/>
    </row>
    <row r="336" spans="1:22" s="75" customFormat="1" ht="12" hidden="1" customHeight="1" x14ac:dyDescent="0.2">
      <c r="A336" s="309"/>
      <c r="B336" s="291" t="str">
        <f>IF(INPUT!C292="","",CONCATENATE("(",INPUT!C292,")"))</f>
        <v/>
      </c>
      <c r="C336" s="291" t="str">
        <f>IF(INPUT!D292="","",CONCATENATE("(",INPUT!D292,")"))</f>
        <v/>
      </c>
      <c r="D336" s="291" t="str">
        <f>IF(INPUT!E292="","",CONCATENATE("(",INPUT!E292,")"))</f>
        <v/>
      </c>
      <c r="E336" s="291" t="str">
        <f>IF(INPUT!F292="","",CONCATENATE("(",INPUT!F292,")"))</f>
        <v/>
      </c>
      <c r="F336" s="291" t="str">
        <f>IF(INPUT!G292="","",CONCATENATE("(",INPUT!G292,")"))</f>
        <v/>
      </c>
      <c r="G336" s="291" t="str">
        <f>IF(INPUT!H292="","",CONCATENATE("(",INPUT!H292,")"))</f>
        <v/>
      </c>
      <c r="H336" s="291" t="str">
        <f>IF(INPUT!I292="","",CONCATENATE("(",INPUT!I292,")"))</f>
        <v/>
      </c>
      <c r="I336" s="291" t="str">
        <f>IF(INPUT!J292="","",CONCATENATE("(",INPUT!J292,")"))</f>
        <v/>
      </c>
      <c r="J336" s="291" t="str">
        <f>IF(INPUT!K292="","",CONCATENATE("(",INPUT!K292,")"))</f>
        <v/>
      </c>
      <c r="K336" s="291" t="str">
        <f>IF(INPUT!L292="","",CONCATENATE("(",INPUT!L292,")"))</f>
        <v/>
      </c>
      <c r="L336" s="291" t="str">
        <f>IF(INPUT!M292="","",CONCATENATE("(",INPUT!M292,")"))</f>
        <v/>
      </c>
      <c r="M336" s="291" t="str">
        <f>IF(INPUT!N292="","",CONCATENATE("(",INPUT!N292,")"))</f>
        <v/>
      </c>
      <c r="N336" s="291" t="str">
        <f>IF(INPUT!O292="","",CONCATENATE("(",INPUT!O292,")"))</f>
        <v/>
      </c>
      <c r="O336" s="291" t="str">
        <f>IF(INPUT!P292="","",CONCATENATE("(",INPUT!P292,")"))</f>
        <v/>
      </c>
      <c r="P336" s="291" t="str">
        <f>IF(INPUT!Q292="","",CONCATENATE("(",INPUT!Q292,")"))</f>
        <v/>
      </c>
      <c r="Q336" s="291" t="str">
        <f>IF(INPUT!R292="","",CONCATENATE("(",INPUT!R292,")"))</f>
        <v/>
      </c>
      <c r="R336" s="291" t="str">
        <f>IF(INPUT!S292="","",CONCATENATE("(",INPUT!S292,")"))</f>
        <v/>
      </c>
      <c r="S336" s="291" t="str">
        <f>IF(INPUT!T292="","",CONCATENATE("(",INPUT!T292,")"))</f>
        <v/>
      </c>
      <c r="T336" s="291" t="str">
        <f>IF(INPUT!U292="","",CONCATENATE("(",INPUT!U292,")"))</f>
        <v/>
      </c>
      <c r="U336" s="291" t="str">
        <f>IF(INPUT!V292="","",CONCATENATE("(",INPUT!V292,")"))</f>
        <v/>
      </c>
      <c r="V336" s="621"/>
    </row>
    <row r="337" spans="1:22" s="312" customFormat="1" ht="12" hidden="1" customHeight="1" x14ac:dyDescent="0.2">
      <c r="A337" s="310" t="s">
        <v>397</v>
      </c>
      <c r="B337" s="311" t="str">
        <f>B443</f>
        <v/>
      </c>
      <c r="C337" s="311" t="str">
        <f>C443</f>
        <v/>
      </c>
      <c r="D337" s="311" t="str">
        <f t="shared" ref="D337:U337" si="119">D443</f>
        <v/>
      </c>
      <c r="E337" s="311" t="str">
        <f t="shared" si="119"/>
        <v/>
      </c>
      <c r="F337" s="311" t="str">
        <f t="shared" si="119"/>
        <v/>
      </c>
      <c r="G337" s="311" t="str">
        <f t="shared" si="119"/>
        <v/>
      </c>
      <c r="H337" s="311" t="str">
        <f t="shared" si="119"/>
        <v/>
      </c>
      <c r="I337" s="311" t="str">
        <f t="shared" si="119"/>
        <v/>
      </c>
      <c r="J337" s="311" t="str">
        <f t="shared" si="119"/>
        <v/>
      </c>
      <c r="K337" s="311" t="str">
        <f t="shared" si="119"/>
        <v/>
      </c>
      <c r="L337" s="311" t="str">
        <f t="shared" si="119"/>
        <v/>
      </c>
      <c r="M337" s="311" t="str">
        <f t="shared" si="119"/>
        <v/>
      </c>
      <c r="N337" s="311" t="str">
        <f t="shared" si="119"/>
        <v/>
      </c>
      <c r="O337" s="311" t="str">
        <f t="shared" si="119"/>
        <v/>
      </c>
      <c r="P337" s="311" t="str">
        <f t="shared" si="119"/>
        <v/>
      </c>
      <c r="Q337" s="311" t="str">
        <f t="shared" si="119"/>
        <v/>
      </c>
      <c r="R337" s="311" t="str">
        <f t="shared" si="119"/>
        <v/>
      </c>
      <c r="S337" s="311" t="str">
        <f t="shared" si="119"/>
        <v/>
      </c>
      <c r="T337" s="311" t="str">
        <f t="shared" si="119"/>
        <v/>
      </c>
      <c r="U337" s="311" t="str">
        <f t="shared" si="119"/>
        <v/>
      </c>
      <c r="V337" s="622"/>
    </row>
    <row r="338" spans="1:22" s="312" customFormat="1" ht="12" hidden="1" customHeight="1" x14ac:dyDescent="0.2">
      <c r="A338" s="313"/>
      <c r="B338" s="291" t="str">
        <f>IF(INPUT!C293="","",CONCATENATE("(",INPUT!C293,")"))</f>
        <v/>
      </c>
      <c r="C338" s="291" t="str">
        <f>IF(INPUT!D293="","",CONCATENATE("(",INPUT!D293,")"))</f>
        <v/>
      </c>
      <c r="D338" s="291" t="str">
        <f>IF(INPUT!E293="","",CONCATENATE("(",INPUT!E293,")"))</f>
        <v/>
      </c>
      <c r="E338" s="291" t="str">
        <f>IF(INPUT!F293="","",CONCATENATE("(",INPUT!F293,")"))</f>
        <v/>
      </c>
      <c r="F338" s="291" t="str">
        <f>IF(INPUT!G293="","",CONCATENATE("(",INPUT!G293,")"))</f>
        <v/>
      </c>
      <c r="G338" s="291" t="str">
        <f>IF(INPUT!H293="","",CONCATENATE("(",INPUT!H293,")"))</f>
        <v/>
      </c>
      <c r="H338" s="291" t="str">
        <f>IF(INPUT!I293="","",CONCATENATE("(",INPUT!I293,")"))</f>
        <v/>
      </c>
      <c r="I338" s="291" t="str">
        <f>IF(INPUT!J293="","",CONCATENATE("(",INPUT!J293,")"))</f>
        <v/>
      </c>
      <c r="J338" s="291" t="str">
        <f>IF(INPUT!K293="","",CONCATENATE("(",INPUT!K293,")"))</f>
        <v/>
      </c>
      <c r="K338" s="291" t="str">
        <f>IF(INPUT!L293="","",CONCATENATE("(",INPUT!L293,")"))</f>
        <v/>
      </c>
      <c r="L338" s="291" t="str">
        <f>IF(INPUT!M293="","",CONCATENATE("(",INPUT!M293,")"))</f>
        <v/>
      </c>
      <c r="M338" s="291" t="str">
        <f>IF(INPUT!N293="","",CONCATENATE("(",INPUT!N293,")"))</f>
        <v/>
      </c>
      <c r="N338" s="291" t="str">
        <f>IF(INPUT!O293="","",CONCATENATE("(",INPUT!O293,")"))</f>
        <v/>
      </c>
      <c r="O338" s="291" t="str">
        <f>IF(INPUT!P293="","",CONCATENATE("(",INPUT!P293,")"))</f>
        <v/>
      </c>
      <c r="P338" s="291" t="str">
        <f>IF(INPUT!Q293="","",CONCATENATE("(",INPUT!Q293,")"))</f>
        <v/>
      </c>
      <c r="Q338" s="291" t="str">
        <f>IF(INPUT!R293="","",CONCATENATE("(",INPUT!R293,")"))</f>
        <v/>
      </c>
      <c r="R338" s="291" t="str">
        <f>IF(INPUT!S293="","",CONCATENATE("(",INPUT!S293,")"))</f>
        <v/>
      </c>
      <c r="S338" s="291" t="str">
        <f>IF(INPUT!T293="","",CONCATENATE("(",INPUT!T293,")"))</f>
        <v/>
      </c>
      <c r="T338" s="291" t="str">
        <f>IF(INPUT!U293="","",CONCATENATE("(",INPUT!U293,")"))</f>
        <v/>
      </c>
      <c r="U338" s="291" t="str">
        <f>IF(INPUT!V293="","",CONCATENATE("(",INPUT!V293,")"))</f>
        <v/>
      </c>
      <c r="V338" s="622"/>
    </row>
    <row r="339" spans="1:22" s="75" customFormat="1" ht="12" hidden="1" customHeight="1" x14ac:dyDescent="0.2">
      <c r="A339" s="308" t="s">
        <v>398</v>
      </c>
      <c r="B339" s="290" t="str">
        <f>B403</f>
        <v/>
      </c>
      <c r="C339" s="290" t="str">
        <f>C403</f>
        <v/>
      </c>
      <c r="D339" s="290" t="str">
        <f t="shared" ref="D339:U339" si="120">D403</f>
        <v/>
      </c>
      <c r="E339" s="290" t="str">
        <f t="shared" si="120"/>
        <v/>
      </c>
      <c r="F339" s="290" t="str">
        <f t="shared" si="120"/>
        <v/>
      </c>
      <c r="G339" s="290" t="str">
        <f t="shared" si="120"/>
        <v/>
      </c>
      <c r="H339" s="290" t="str">
        <f t="shared" si="120"/>
        <v/>
      </c>
      <c r="I339" s="290" t="str">
        <f t="shared" si="120"/>
        <v/>
      </c>
      <c r="J339" s="290" t="str">
        <f t="shared" si="120"/>
        <v/>
      </c>
      <c r="K339" s="290" t="str">
        <f t="shared" si="120"/>
        <v/>
      </c>
      <c r="L339" s="290" t="str">
        <f t="shared" si="120"/>
        <v/>
      </c>
      <c r="M339" s="290" t="str">
        <f t="shared" si="120"/>
        <v/>
      </c>
      <c r="N339" s="290" t="str">
        <f t="shared" si="120"/>
        <v/>
      </c>
      <c r="O339" s="290" t="str">
        <f t="shared" si="120"/>
        <v/>
      </c>
      <c r="P339" s="290" t="str">
        <f t="shared" si="120"/>
        <v/>
      </c>
      <c r="Q339" s="290" t="str">
        <f t="shared" si="120"/>
        <v/>
      </c>
      <c r="R339" s="290" t="str">
        <f t="shared" si="120"/>
        <v/>
      </c>
      <c r="S339" s="290" t="str">
        <f t="shared" si="120"/>
        <v/>
      </c>
      <c r="T339" s="290" t="str">
        <f t="shared" si="120"/>
        <v/>
      </c>
      <c r="U339" s="290" t="str">
        <f t="shared" si="120"/>
        <v/>
      </c>
      <c r="V339" s="621"/>
    </row>
    <row r="340" spans="1:22" s="75" customFormat="1" ht="12" hidden="1" customHeight="1" x14ac:dyDescent="0.2">
      <c r="A340" s="309"/>
      <c r="B340" s="291" t="str">
        <f>IF(INPUT!C294="","",CONCATENATE("(",INPUT!C294,")"))</f>
        <v/>
      </c>
      <c r="C340" s="291" t="str">
        <f>IF(INPUT!D294="","",CONCATENATE("(",INPUT!D294,")"))</f>
        <v/>
      </c>
      <c r="D340" s="291" t="str">
        <f>IF(INPUT!E294="","",CONCATENATE("(",INPUT!E294,")"))</f>
        <v/>
      </c>
      <c r="E340" s="291" t="str">
        <f>IF(INPUT!F294="","",CONCATENATE("(",INPUT!F294,")"))</f>
        <v/>
      </c>
      <c r="F340" s="291" t="str">
        <f>IF(INPUT!G294="","",CONCATENATE("(",INPUT!G294,")"))</f>
        <v/>
      </c>
      <c r="G340" s="291" t="str">
        <f>IF(INPUT!H294="","",CONCATENATE("(",INPUT!H294,")"))</f>
        <v/>
      </c>
      <c r="H340" s="291" t="str">
        <f>IF(INPUT!I294="","",CONCATENATE("(",INPUT!I294,")"))</f>
        <v/>
      </c>
      <c r="I340" s="291" t="str">
        <f>IF(INPUT!J294="","",CONCATENATE("(",INPUT!J294,")"))</f>
        <v/>
      </c>
      <c r="J340" s="291" t="str">
        <f>IF(INPUT!K294="","",CONCATENATE("(",INPUT!K294,")"))</f>
        <v/>
      </c>
      <c r="K340" s="291" t="str">
        <f>IF(INPUT!L294="","",CONCATENATE("(",INPUT!L294,")"))</f>
        <v/>
      </c>
      <c r="L340" s="291" t="str">
        <f>IF(INPUT!M294="","",CONCATENATE("(",INPUT!M294,")"))</f>
        <v/>
      </c>
      <c r="M340" s="291" t="str">
        <f>IF(INPUT!N294="","",CONCATENATE("(",INPUT!N294,")"))</f>
        <v/>
      </c>
      <c r="N340" s="291" t="str">
        <f>IF(INPUT!O294="","",CONCATENATE("(",INPUT!O294,")"))</f>
        <v/>
      </c>
      <c r="O340" s="291" t="str">
        <f>IF(INPUT!P294="","",CONCATENATE("(",INPUT!P294,")"))</f>
        <v/>
      </c>
      <c r="P340" s="291" t="str">
        <f>IF(INPUT!Q294="","",CONCATENATE("(",INPUT!Q294,")"))</f>
        <v/>
      </c>
      <c r="Q340" s="291" t="str">
        <f>IF(INPUT!R294="","",CONCATENATE("(",INPUT!R294,")"))</f>
        <v/>
      </c>
      <c r="R340" s="291" t="str">
        <f>IF(INPUT!S294="","",CONCATENATE("(",INPUT!S294,")"))</f>
        <v/>
      </c>
      <c r="S340" s="291" t="str">
        <f>IF(INPUT!T294="","",CONCATENATE("(",INPUT!T294,")"))</f>
        <v/>
      </c>
      <c r="T340" s="291" t="str">
        <f>IF(INPUT!U294="","",CONCATENATE("(",INPUT!U294,")"))</f>
        <v/>
      </c>
      <c r="U340" s="291" t="str">
        <f>IF(INPUT!V294="","",CONCATENATE("(",INPUT!V294,")"))</f>
        <v/>
      </c>
      <c r="V340" s="621"/>
    </row>
    <row r="341" spans="1:22" s="75" customFormat="1" ht="12" hidden="1" customHeight="1" x14ac:dyDescent="0.2">
      <c r="A341" s="308" t="s">
        <v>399</v>
      </c>
      <c r="B341" s="293" t="str">
        <f>B388</f>
        <v/>
      </c>
      <c r="C341" s="293" t="str">
        <f>C388</f>
        <v/>
      </c>
      <c r="D341" s="293" t="str">
        <f t="shared" ref="D341:U341" si="121">D388</f>
        <v/>
      </c>
      <c r="E341" s="293" t="str">
        <f t="shared" si="121"/>
        <v/>
      </c>
      <c r="F341" s="293" t="str">
        <f t="shared" si="121"/>
        <v/>
      </c>
      <c r="G341" s="293" t="str">
        <f t="shared" si="121"/>
        <v/>
      </c>
      <c r="H341" s="293" t="str">
        <f t="shared" si="121"/>
        <v/>
      </c>
      <c r="I341" s="293" t="str">
        <f t="shared" si="121"/>
        <v/>
      </c>
      <c r="J341" s="293" t="str">
        <f t="shared" si="121"/>
        <v/>
      </c>
      <c r="K341" s="293" t="str">
        <f t="shared" si="121"/>
        <v/>
      </c>
      <c r="L341" s="293" t="str">
        <f t="shared" si="121"/>
        <v/>
      </c>
      <c r="M341" s="293" t="str">
        <f t="shared" si="121"/>
        <v/>
      </c>
      <c r="N341" s="293" t="str">
        <f t="shared" si="121"/>
        <v/>
      </c>
      <c r="O341" s="293" t="str">
        <f t="shared" si="121"/>
        <v/>
      </c>
      <c r="P341" s="293" t="str">
        <f t="shared" si="121"/>
        <v/>
      </c>
      <c r="Q341" s="293" t="str">
        <f t="shared" si="121"/>
        <v/>
      </c>
      <c r="R341" s="293" t="str">
        <f t="shared" si="121"/>
        <v/>
      </c>
      <c r="S341" s="293" t="str">
        <f t="shared" si="121"/>
        <v/>
      </c>
      <c r="T341" s="293" t="str">
        <f t="shared" si="121"/>
        <v/>
      </c>
      <c r="U341" s="293" t="str">
        <f t="shared" si="121"/>
        <v/>
      </c>
      <c r="V341" s="621"/>
    </row>
    <row r="342" spans="1:22" s="75" customFormat="1" ht="12" hidden="1" customHeight="1" x14ac:dyDescent="0.2">
      <c r="A342" s="309"/>
      <c r="B342" s="292" t="str">
        <f>IF(INPUT!C295="","",CONCATENATE("(",INPUT!C295,"%",")"))</f>
        <v/>
      </c>
      <c r="C342" s="292" t="str">
        <f>IF(INPUT!D295="","",CONCATENATE("(",INPUT!D295,"%",")"))</f>
        <v/>
      </c>
      <c r="D342" s="292" t="str">
        <f>IF(INPUT!E295="","",CONCATENATE("(",INPUT!E295,"%",")"))</f>
        <v/>
      </c>
      <c r="E342" s="292" t="str">
        <f>IF(INPUT!F295="","",CONCATENATE("(",INPUT!F295,"%",")"))</f>
        <v/>
      </c>
      <c r="F342" s="292" t="str">
        <f>IF(INPUT!G295="","",CONCATENATE("(",INPUT!G295,"%",")"))</f>
        <v/>
      </c>
      <c r="G342" s="292" t="str">
        <f>IF(INPUT!H295="","",CONCATENATE("(",INPUT!H295,"%",")"))</f>
        <v/>
      </c>
      <c r="H342" s="292" t="str">
        <f>IF(INPUT!I295="","",CONCATENATE("(",INPUT!I295,"%",")"))</f>
        <v/>
      </c>
      <c r="I342" s="292" t="str">
        <f>IF(INPUT!J295="","",CONCATENATE("(",INPUT!J295,"%",")"))</f>
        <v/>
      </c>
      <c r="J342" s="292" t="str">
        <f>IF(INPUT!K295="","",CONCATENATE("(",INPUT!K295,"%",")"))</f>
        <v/>
      </c>
      <c r="K342" s="292" t="str">
        <f>IF(INPUT!L295="","",CONCATENATE("(",INPUT!L295,"%",")"))</f>
        <v/>
      </c>
      <c r="L342" s="292" t="str">
        <f>IF(INPUT!M295="","",CONCATENATE("(",INPUT!M295,"%",")"))</f>
        <v/>
      </c>
      <c r="M342" s="292" t="str">
        <f>IF(INPUT!N295="","",CONCATENATE("(",INPUT!N295,"%",")"))</f>
        <v/>
      </c>
      <c r="N342" s="292" t="str">
        <f>IF(INPUT!O295="","",CONCATENATE("(",INPUT!O295,"%",")"))</f>
        <v/>
      </c>
      <c r="O342" s="292" t="str">
        <f>IF(INPUT!P295="","",CONCATENATE("(",INPUT!P295,"%",")"))</f>
        <v/>
      </c>
      <c r="P342" s="292" t="str">
        <f>IF(INPUT!Q295="","",CONCATENATE("(",INPUT!Q295,"%",")"))</f>
        <v/>
      </c>
      <c r="Q342" s="292" t="str">
        <f>IF(INPUT!R295="","",CONCATENATE("(",INPUT!R295,"%",")"))</f>
        <v/>
      </c>
      <c r="R342" s="292" t="str">
        <f>IF(INPUT!S295="","",CONCATENATE("(",INPUT!S295,"%",")"))</f>
        <v/>
      </c>
      <c r="S342" s="292" t="str">
        <f>IF(INPUT!T295="","",CONCATENATE("(",INPUT!T295,"%",")"))</f>
        <v/>
      </c>
      <c r="T342" s="292" t="str">
        <f>IF(INPUT!U295="","",CONCATENATE("(",INPUT!U295,"%",")"))</f>
        <v/>
      </c>
      <c r="U342" s="292" t="str">
        <f>IF(INPUT!V295="","",CONCATENATE("(",INPUT!V295,"%",")"))</f>
        <v/>
      </c>
      <c r="V342" s="621"/>
    </row>
    <row r="343" spans="1:22" s="75" customFormat="1" ht="12" hidden="1" customHeight="1" x14ac:dyDescent="0.2">
      <c r="A343" s="308" t="s">
        <v>400</v>
      </c>
      <c r="B343" s="293" t="str">
        <f>IF(ISERROR(Liab!C249/'CRA Validation'!B382),"",IF(Liab!C249/'CRA Validation'!B382=0,"",Liab!C249/'CRA Validation'!B382))</f>
        <v/>
      </c>
      <c r="C343" s="293" t="str">
        <f>IF(ISERROR(Liab!D249/'CRA Validation'!C382),"",IF(Liab!D249/'CRA Validation'!C382=0,"",Liab!D249/'CRA Validation'!C382))</f>
        <v/>
      </c>
      <c r="D343" s="293" t="str">
        <f>IF(ISERROR(Liab!E249/'CRA Validation'!D382),"",IF(Liab!E249/'CRA Validation'!D382=0,"",Liab!E249/'CRA Validation'!D382))</f>
        <v/>
      </c>
      <c r="E343" s="293" t="str">
        <f>IF(ISERROR(Liab!F249/'CRA Validation'!E382),"",IF(Liab!F249/'CRA Validation'!E382=0,"",Liab!F249/'CRA Validation'!E382))</f>
        <v/>
      </c>
      <c r="F343" s="293" t="str">
        <f>IF(ISERROR(Liab!G249/'CRA Validation'!F382),"",IF(Liab!G249/'CRA Validation'!F382=0,"",Liab!G249/'CRA Validation'!F382))</f>
        <v/>
      </c>
      <c r="G343" s="293" t="str">
        <f>IF(ISERROR(Liab!H249/'CRA Validation'!G382),"",IF(Liab!H249/'CRA Validation'!G382=0,"",Liab!H249/'CRA Validation'!G382))</f>
        <v/>
      </c>
      <c r="H343" s="293" t="str">
        <f>IF(ISERROR(Liab!I249/'CRA Validation'!H382),"",IF(Liab!I249/'CRA Validation'!H382=0,"",Liab!I249/'CRA Validation'!H382))</f>
        <v/>
      </c>
      <c r="I343" s="293" t="str">
        <f>IF(ISERROR(Liab!J249/'CRA Validation'!I382),"",IF(Liab!J249/'CRA Validation'!I382=0,"",Liab!J249/'CRA Validation'!I382))</f>
        <v/>
      </c>
      <c r="J343" s="293" t="str">
        <f>IF(ISERROR(Liab!K249/'CRA Validation'!J382),"",IF(Liab!K249/'CRA Validation'!J382=0,"",Liab!K249/'CRA Validation'!J382))</f>
        <v/>
      </c>
      <c r="K343" s="293" t="str">
        <f>IF(ISERROR(Liab!L249/'CRA Validation'!K382),"",IF(Liab!L249/'CRA Validation'!K382=0,"",Liab!L249/'CRA Validation'!K382))</f>
        <v/>
      </c>
      <c r="L343" s="293" t="str">
        <f>IF(ISERROR(Liab!M249/'CRA Validation'!L382),"",IF(Liab!M249/'CRA Validation'!L382=0,"",Liab!M249/'CRA Validation'!L382))</f>
        <v/>
      </c>
      <c r="M343" s="293" t="str">
        <f>IF(ISERROR(Liab!N249/'CRA Validation'!M382),"",IF(Liab!N249/'CRA Validation'!M382=0,"",Liab!N249/'CRA Validation'!M382))</f>
        <v/>
      </c>
      <c r="N343" s="293" t="str">
        <f>IF(ISERROR(Liab!O249/'CRA Validation'!N382),"",IF(Liab!O249/'CRA Validation'!N382=0,"",Liab!O249/'CRA Validation'!N382))</f>
        <v/>
      </c>
      <c r="O343" s="293" t="str">
        <f>IF(ISERROR(Liab!P249/'CRA Validation'!O382),"",IF(Liab!P249/'CRA Validation'!O382=0,"",Liab!P249/'CRA Validation'!O382))</f>
        <v/>
      </c>
      <c r="P343" s="293" t="str">
        <f>IF(ISERROR(Liab!Q249/'CRA Validation'!P382),"",IF(Liab!Q249/'CRA Validation'!P382=0,"",Liab!Q249/'CRA Validation'!P382))</f>
        <v/>
      </c>
      <c r="Q343" s="293" t="str">
        <f>IF(ISERROR(Liab!R249/'CRA Validation'!Q382),"",IF(Liab!R249/'CRA Validation'!Q382=0,"",Liab!R249/'CRA Validation'!Q382))</f>
        <v/>
      </c>
      <c r="R343" s="293" t="str">
        <f>IF(ISERROR(Liab!S249/'CRA Validation'!R382),"",IF(Liab!S249/'CRA Validation'!R382=0,"",Liab!S249/'CRA Validation'!R382))</f>
        <v/>
      </c>
      <c r="S343" s="293" t="str">
        <f>IF(ISERROR(Liab!T249/'CRA Validation'!S382),"",IF(Liab!T249/'CRA Validation'!S382=0,"",Liab!T249/'CRA Validation'!S382))</f>
        <v/>
      </c>
      <c r="T343" s="293" t="str">
        <f>IF(ISERROR(Liab!U249/'CRA Validation'!T382),"",IF(Liab!U249/'CRA Validation'!T382=0,"",Liab!U249/'CRA Validation'!T382))</f>
        <v/>
      </c>
      <c r="U343" s="293" t="str">
        <f>IF(ISERROR(Liab!V249/'CRA Validation'!U382),"",IF(Liab!V249/'CRA Validation'!U382=0,"",Liab!V249/'CRA Validation'!U382))</f>
        <v/>
      </c>
      <c r="V343" s="621"/>
    </row>
    <row r="344" spans="1:22" s="75" customFormat="1" ht="12" hidden="1" customHeight="1" x14ac:dyDescent="0.2">
      <c r="A344" s="309"/>
      <c r="B344" s="292" t="str">
        <f>IF(INPUT!C296="","",CONCATENATE("(",INPUT!C296,"%",")"))</f>
        <v/>
      </c>
      <c r="C344" s="292" t="str">
        <f>IF(INPUT!D296="","",CONCATENATE("(",INPUT!D296,"%",")"))</f>
        <v/>
      </c>
      <c r="D344" s="292" t="str">
        <f>IF(INPUT!E296="","",CONCATENATE("(",INPUT!E296,"%",")"))</f>
        <v/>
      </c>
      <c r="E344" s="292" t="str">
        <f>IF(INPUT!F296="","",CONCATENATE("(",INPUT!F296,"%",")"))</f>
        <v/>
      </c>
      <c r="F344" s="292" t="str">
        <f>IF(INPUT!G296="","",CONCATENATE("(",INPUT!G296,"%",")"))</f>
        <v/>
      </c>
      <c r="G344" s="292" t="str">
        <f>IF(INPUT!H296="","",CONCATENATE("(",INPUT!H296,"%",")"))</f>
        <v/>
      </c>
      <c r="H344" s="292" t="str">
        <f>IF(INPUT!I296="","",CONCATENATE("(",INPUT!I296,"%",")"))</f>
        <v/>
      </c>
      <c r="I344" s="292" t="str">
        <f>IF(INPUT!J296="","",CONCATENATE("(",INPUT!J296,"%",")"))</f>
        <v/>
      </c>
      <c r="J344" s="292" t="str">
        <f>IF(INPUT!K296="","",CONCATENATE("(",INPUT!K296,"%",")"))</f>
        <v/>
      </c>
      <c r="K344" s="292" t="str">
        <f>IF(INPUT!L296="","",CONCATENATE("(",INPUT!L296,"%",")"))</f>
        <v/>
      </c>
      <c r="L344" s="292" t="str">
        <f>IF(INPUT!M296="","",CONCATENATE("(",INPUT!M296,"%",")"))</f>
        <v/>
      </c>
      <c r="M344" s="292" t="str">
        <f>IF(INPUT!N296="","",CONCATENATE("(",INPUT!N296,"%",")"))</f>
        <v/>
      </c>
      <c r="N344" s="292" t="str">
        <f>IF(INPUT!O296="","",CONCATENATE("(",INPUT!O296,"%",")"))</f>
        <v/>
      </c>
      <c r="O344" s="292" t="str">
        <f>IF(INPUT!P296="","",CONCATENATE("(",INPUT!P296,"%",")"))</f>
        <v/>
      </c>
      <c r="P344" s="292" t="str">
        <f>IF(INPUT!Q296="","",CONCATENATE("(",INPUT!Q296,"%",")"))</f>
        <v/>
      </c>
      <c r="Q344" s="292" t="str">
        <f>IF(INPUT!R296="","",CONCATENATE("(",INPUT!R296,"%",")"))</f>
        <v/>
      </c>
      <c r="R344" s="292" t="str">
        <f>IF(INPUT!S296="","",CONCATENATE("(",INPUT!S296,"%",")"))</f>
        <v/>
      </c>
      <c r="S344" s="292" t="str">
        <f>IF(INPUT!T296="","",CONCATENATE("(",INPUT!T296,"%",")"))</f>
        <v/>
      </c>
      <c r="T344" s="292" t="str">
        <f>IF(INPUT!U296="","",CONCATENATE("(",INPUT!U296,"%",")"))</f>
        <v/>
      </c>
      <c r="U344" s="292" t="str">
        <f>IF(INPUT!V296="","",CONCATENATE("(",INPUT!V296,"%",")"))</f>
        <v/>
      </c>
      <c r="V344" s="621"/>
    </row>
    <row r="345" spans="1:22" s="75" customFormat="1" ht="12" hidden="1" customHeight="1" x14ac:dyDescent="0.2">
      <c r="A345" s="308" t="s">
        <v>401</v>
      </c>
      <c r="B345" s="293" t="str">
        <f>B389</f>
        <v/>
      </c>
      <c r="C345" s="293" t="str">
        <f>C389</f>
        <v/>
      </c>
      <c r="D345" s="293" t="str">
        <f t="shared" ref="D345:U345" si="122">D389</f>
        <v/>
      </c>
      <c r="E345" s="293" t="str">
        <f t="shared" si="122"/>
        <v/>
      </c>
      <c r="F345" s="293" t="str">
        <f t="shared" si="122"/>
        <v/>
      </c>
      <c r="G345" s="293" t="str">
        <f t="shared" si="122"/>
        <v/>
      </c>
      <c r="H345" s="293" t="str">
        <f t="shared" si="122"/>
        <v/>
      </c>
      <c r="I345" s="293" t="str">
        <f t="shared" si="122"/>
        <v/>
      </c>
      <c r="J345" s="293" t="str">
        <f t="shared" si="122"/>
        <v/>
      </c>
      <c r="K345" s="293" t="str">
        <f t="shared" si="122"/>
        <v/>
      </c>
      <c r="L345" s="293" t="str">
        <f t="shared" si="122"/>
        <v/>
      </c>
      <c r="M345" s="293" t="str">
        <f t="shared" si="122"/>
        <v/>
      </c>
      <c r="N345" s="293" t="str">
        <f t="shared" si="122"/>
        <v/>
      </c>
      <c r="O345" s="293" t="str">
        <f t="shared" si="122"/>
        <v/>
      </c>
      <c r="P345" s="293" t="str">
        <f t="shared" si="122"/>
        <v/>
      </c>
      <c r="Q345" s="293" t="str">
        <f t="shared" si="122"/>
        <v/>
      </c>
      <c r="R345" s="293" t="str">
        <f t="shared" si="122"/>
        <v/>
      </c>
      <c r="S345" s="293" t="str">
        <f t="shared" si="122"/>
        <v/>
      </c>
      <c r="T345" s="293" t="str">
        <f t="shared" si="122"/>
        <v/>
      </c>
      <c r="U345" s="293" t="str">
        <f t="shared" si="122"/>
        <v/>
      </c>
      <c r="V345" s="621"/>
    </row>
    <row r="346" spans="1:22" s="75" customFormat="1" ht="12" hidden="1" customHeight="1" x14ac:dyDescent="0.2">
      <c r="A346" s="309"/>
      <c r="B346" s="292" t="str">
        <f>IF(INPUT!C297="","",CONCATENATE("(",INPUT!C297,"%",")"))</f>
        <v/>
      </c>
      <c r="C346" s="292" t="str">
        <f>IF(INPUT!D297="","",CONCATENATE("(",INPUT!D297,"%",")"))</f>
        <v/>
      </c>
      <c r="D346" s="292" t="str">
        <f>IF(INPUT!E297="","",CONCATENATE("(",INPUT!E297,"%",")"))</f>
        <v/>
      </c>
      <c r="E346" s="292" t="str">
        <f>IF(INPUT!F297="","",CONCATENATE("(",INPUT!F297,"%",")"))</f>
        <v/>
      </c>
      <c r="F346" s="292" t="str">
        <f>IF(INPUT!G297="","",CONCATENATE("(",INPUT!G297,"%",")"))</f>
        <v/>
      </c>
      <c r="G346" s="292" t="str">
        <f>IF(INPUT!H297="","",CONCATENATE("(",INPUT!H297,"%",")"))</f>
        <v/>
      </c>
      <c r="H346" s="292" t="str">
        <f>IF(INPUT!I297="","",CONCATENATE("(",INPUT!I297,"%",")"))</f>
        <v/>
      </c>
      <c r="I346" s="292" t="str">
        <f>IF(INPUT!J297="","",CONCATENATE("(",INPUT!J297,"%",")"))</f>
        <v/>
      </c>
      <c r="J346" s="292" t="str">
        <f>IF(INPUT!K297="","",CONCATENATE("(",INPUT!K297,"%",")"))</f>
        <v/>
      </c>
      <c r="K346" s="292" t="str">
        <f>IF(INPUT!L297="","",CONCATENATE("(",INPUT!L297,"%",")"))</f>
        <v/>
      </c>
      <c r="L346" s="292" t="str">
        <f>IF(INPUT!M297="","",CONCATENATE("(",INPUT!M297,"%",")"))</f>
        <v/>
      </c>
      <c r="M346" s="292" t="str">
        <f>IF(INPUT!N297="","",CONCATENATE("(",INPUT!N297,"%",")"))</f>
        <v/>
      </c>
      <c r="N346" s="292" t="str">
        <f>IF(INPUT!O297="","",CONCATENATE("(",INPUT!O297,"%",")"))</f>
        <v/>
      </c>
      <c r="O346" s="292" t="str">
        <f>IF(INPUT!P297="","",CONCATENATE("(",INPUT!P297,"%",")"))</f>
        <v/>
      </c>
      <c r="P346" s="292" t="str">
        <f>IF(INPUT!Q297="","",CONCATENATE("(",INPUT!Q297,"%",")"))</f>
        <v/>
      </c>
      <c r="Q346" s="292" t="str">
        <f>IF(INPUT!R297="","",CONCATENATE("(",INPUT!R297,"%",")"))</f>
        <v/>
      </c>
      <c r="R346" s="292" t="str">
        <f>IF(INPUT!S297="","",CONCATENATE("(",INPUT!S297,"%",")"))</f>
        <v/>
      </c>
      <c r="S346" s="292" t="str">
        <f>IF(INPUT!T297="","",CONCATENATE("(",INPUT!T297,"%",")"))</f>
        <v/>
      </c>
      <c r="T346" s="292" t="str">
        <f>IF(INPUT!U297="","",CONCATENATE("(",INPUT!U297,"%",")"))</f>
        <v/>
      </c>
      <c r="U346" s="292" t="str">
        <f>IF(INPUT!V297="","",CONCATENATE("(",INPUT!V297,"%",")"))</f>
        <v/>
      </c>
      <c r="V346" s="621"/>
    </row>
    <row r="347" spans="1:22" s="75" customFormat="1" ht="12" hidden="1" customHeight="1" x14ac:dyDescent="0.2">
      <c r="A347" s="308" t="s">
        <v>402</v>
      </c>
      <c r="B347" s="293" t="str">
        <f>B387</f>
        <v/>
      </c>
      <c r="C347" s="293" t="str">
        <f>C387</f>
        <v/>
      </c>
      <c r="D347" s="293" t="str">
        <f t="shared" ref="D347:U347" si="123">D387</f>
        <v/>
      </c>
      <c r="E347" s="293" t="str">
        <f t="shared" si="123"/>
        <v/>
      </c>
      <c r="F347" s="293" t="str">
        <f t="shared" si="123"/>
        <v/>
      </c>
      <c r="G347" s="293" t="str">
        <f t="shared" si="123"/>
        <v/>
      </c>
      <c r="H347" s="293" t="str">
        <f t="shared" si="123"/>
        <v/>
      </c>
      <c r="I347" s="293" t="str">
        <f t="shared" si="123"/>
        <v/>
      </c>
      <c r="J347" s="293" t="str">
        <f t="shared" si="123"/>
        <v/>
      </c>
      <c r="K347" s="293" t="str">
        <f t="shared" si="123"/>
        <v/>
      </c>
      <c r="L347" s="293" t="str">
        <f t="shared" si="123"/>
        <v/>
      </c>
      <c r="M347" s="293" t="str">
        <f t="shared" si="123"/>
        <v/>
      </c>
      <c r="N347" s="293" t="str">
        <f t="shared" si="123"/>
        <v/>
      </c>
      <c r="O347" s="293" t="str">
        <f t="shared" si="123"/>
        <v/>
      </c>
      <c r="P347" s="293" t="str">
        <f t="shared" si="123"/>
        <v/>
      </c>
      <c r="Q347" s="293" t="str">
        <f t="shared" si="123"/>
        <v/>
      </c>
      <c r="R347" s="293" t="str">
        <f t="shared" si="123"/>
        <v/>
      </c>
      <c r="S347" s="293" t="str">
        <f t="shared" si="123"/>
        <v/>
      </c>
      <c r="T347" s="293" t="str">
        <f t="shared" si="123"/>
        <v/>
      </c>
      <c r="U347" s="293" t="str">
        <f t="shared" si="123"/>
        <v/>
      </c>
      <c r="V347" s="621"/>
    </row>
    <row r="348" spans="1:22" s="75" customFormat="1" ht="12" hidden="1" customHeight="1" x14ac:dyDescent="0.2">
      <c r="A348" s="309"/>
      <c r="B348" s="292" t="str">
        <f>IF(INPUT!C298="","",CONCATENATE("(",INPUT!C298,"%",")"))</f>
        <v/>
      </c>
      <c r="C348" s="292" t="str">
        <f>IF(INPUT!D298="","",CONCATENATE("(",INPUT!D298,"%",")"))</f>
        <v/>
      </c>
      <c r="D348" s="292" t="str">
        <f>IF(INPUT!E298="","",CONCATENATE("(",INPUT!E298,"%",")"))</f>
        <v/>
      </c>
      <c r="E348" s="292" t="str">
        <f>IF(INPUT!F298="","",CONCATENATE("(",INPUT!F298,"%",")"))</f>
        <v/>
      </c>
      <c r="F348" s="292" t="str">
        <f>IF(INPUT!G298="","",CONCATENATE("(",INPUT!G298,"%",")"))</f>
        <v/>
      </c>
      <c r="G348" s="292" t="str">
        <f>IF(INPUT!H298="","",CONCATENATE("(",INPUT!H298,"%",")"))</f>
        <v/>
      </c>
      <c r="H348" s="292" t="str">
        <f>IF(INPUT!I298="","",CONCATENATE("(",INPUT!I298,"%",")"))</f>
        <v/>
      </c>
      <c r="I348" s="292" t="str">
        <f>IF(INPUT!J298="","",CONCATENATE("(",INPUT!J298,"%",")"))</f>
        <v/>
      </c>
      <c r="J348" s="292" t="str">
        <f>IF(INPUT!K298="","",CONCATENATE("(",INPUT!K298,"%",")"))</f>
        <v/>
      </c>
      <c r="K348" s="292" t="str">
        <f>IF(INPUT!L298="","",CONCATENATE("(",INPUT!L298,"%",")"))</f>
        <v/>
      </c>
      <c r="L348" s="292" t="str">
        <f>IF(INPUT!M298="","",CONCATENATE("(",INPUT!M298,"%",")"))</f>
        <v/>
      </c>
      <c r="M348" s="292" t="str">
        <f>IF(INPUT!N298="","",CONCATENATE("(",INPUT!N298,"%",")"))</f>
        <v/>
      </c>
      <c r="N348" s="292" t="str">
        <f>IF(INPUT!O298="","",CONCATENATE("(",INPUT!O298,"%",")"))</f>
        <v/>
      </c>
      <c r="O348" s="292" t="str">
        <f>IF(INPUT!P298="","",CONCATENATE("(",INPUT!P298,"%",")"))</f>
        <v/>
      </c>
      <c r="P348" s="292" t="str">
        <f>IF(INPUT!Q298="","",CONCATENATE("(",INPUT!Q298,"%",")"))</f>
        <v/>
      </c>
      <c r="Q348" s="292" t="str">
        <f>IF(INPUT!R298="","",CONCATENATE("(",INPUT!R298,"%",")"))</f>
        <v/>
      </c>
      <c r="R348" s="292" t="str">
        <f>IF(INPUT!S298="","",CONCATENATE("(",INPUT!S298,"%",")"))</f>
        <v/>
      </c>
      <c r="S348" s="292" t="str">
        <f>IF(INPUT!T298="","",CONCATENATE("(",INPUT!T298,"%",")"))</f>
        <v/>
      </c>
      <c r="T348" s="292" t="str">
        <f>IF(INPUT!U298="","",CONCATENATE("(",INPUT!U298,"%",")"))</f>
        <v/>
      </c>
      <c r="U348" s="292" t="str">
        <f>IF(INPUT!V298="","",CONCATENATE("(",INPUT!V298,"%",")"))</f>
        <v/>
      </c>
      <c r="V348" s="621"/>
    </row>
    <row r="349" spans="1:22" ht="15" hidden="1" customHeight="1" x14ac:dyDescent="0.25">
      <c r="A349" s="306" t="s">
        <v>462</v>
      </c>
      <c r="B349" s="255"/>
      <c r="C349" s="255"/>
      <c r="D349" s="255"/>
      <c r="E349" s="255"/>
      <c r="F349" s="255"/>
      <c r="G349" s="255"/>
      <c r="H349" s="255"/>
      <c r="I349" s="255"/>
      <c r="J349" s="255"/>
      <c r="K349" s="255"/>
      <c r="L349" s="255"/>
      <c r="M349" s="255"/>
      <c r="N349" s="255"/>
      <c r="O349" s="255"/>
      <c r="P349" s="255"/>
      <c r="Q349" s="255"/>
      <c r="R349" s="255"/>
      <c r="S349" s="255"/>
      <c r="T349" s="255"/>
      <c r="U349" s="255"/>
      <c r="V349" s="612"/>
    </row>
    <row r="350" spans="1:22" ht="12" hidden="1" customHeight="1" x14ac:dyDescent="0.25">
      <c r="A350" s="259" t="s">
        <v>463</v>
      </c>
      <c r="B350" s="255"/>
      <c r="C350" s="255"/>
      <c r="D350" s="255"/>
      <c r="E350" s="255"/>
      <c r="F350" s="255"/>
      <c r="G350" s="255"/>
      <c r="H350" s="255"/>
      <c r="I350" s="255"/>
      <c r="J350" s="255"/>
      <c r="K350" s="255"/>
      <c r="L350" s="255"/>
      <c r="M350" s="255"/>
      <c r="N350" s="255"/>
      <c r="O350" s="255"/>
      <c r="P350" s="255"/>
      <c r="Q350" s="255"/>
      <c r="R350" s="255"/>
      <c r="S350" s="255"/>
      <c r="T350" s="255"/>
      <c r="U350" s="255"/>
      <c r="V350" s="612"/>
    </row>
    <row r="351" spans="1:22" s="297" customFormat="1" ht="12.75" hidden="1" customHeight="1" x14ac:dyDescent="0.25">
      <c r="A351" s="296"/>
      <c r="B351" s="261">
        <f>B225</f>
        <v>2020</v>
      </c>
      <c r="C351" s="261">
        <f>C225</f>
        <v>2021</v>
      </c>
      <c r="D351" s="261">
        <f t="shared" ref="D351:U351" si="124">D225</f>
        <v>2022</v>
      </c>
      <c r="E351" s="261">
        <f t="shared" si="124"/>
        <v>2023</v>
      </c>
      <c r="F351" s="261">
        <f t="shared" si="124"/>
        <v>2024</v>
      </c>
      <c r="G351" s="261">
        <f t="shared" si="124"/>
        <v>2025</v>
      </c>
      <c r="H351" s="261">
        <f t="shared" si="124"/>
        <v>2026</v>
      </c>
      <c r="I351" s="261">
        <f t="shared" si="124"/>
        <v>2027</v>
      </c>
      <c r="J351" s="261">
        <f t="shared" si="124"/>
        <v>2028</v>
      </c>
      <c r="K351" s="261">
        <f t="shared" si="124"/>
        <v>2029</v>
      </c>
      <c r="L351" s="261">
        <f t="shared" si="124"/>
        <v>2030</v>
      </c>
      <c r="M351" s="261">
        <f t="shared" si="124"/>
        <v>2031</v>
      </c>
      <c r="N351" s="261">
        <f t="shared" si="124"/>
        <v>2032</v>
      </c>
      <c r="O351" s="261">
        <f t="shared" si="124"/>
        <v>2033</v>
      </c>
      <c r="P351" s="261">
        <f t="shared" si="124"/>
        <v>2034</v>
      </c>
      <c r="Q351" s="261">
        <f t="shared" si="124"/>
        <v>2035</v>
      </c>
      <c r="R351" s="261">
        <f t="shared" si="124"/>
        <v>2036</v>
      </c>
      <c r="S351" s="261">
        <f t="shared" si="124"/>
        <v>2037</v>
      </c>
      <c r="T351" s="261">
        <f t="shared" si="124"/>
        <v>2038</v>
      </c>
      <c r="U351" s="261">
        <f t="shared" si="124"/>
        <v>2039</v>
      </c>
      <c r="V351" s="613"/>
    </row>
    <row r="352" spans="1:22" s="297" customFormat="1" ht="12.75" hidden="1" customHeight="1" x14ac:dyDescent="0.25">
      <c r="A352" s="296"/>
      <c r="B352" s="261" t="str">
        <f>B334</f>
        <v>AUD.</v>
      </c>
      <c r="C352" s="261" t="str">
        <f>C334</f>
        <v>AUD.</v>
      </c>
      <c r="D352" s="261" t="str">
        <f t="shared" ref="D352:U352" si="125">D334</f>
        <v>AUD.</v>
      </c>
      <c r="E352" s="261" t="str">
        <f t="shared" si="125"/>
        <v>EST.</v>
      </c>
      <c r="F352" s="261" t="str">
        <f t="shared" si="125"/>
        <v>PROJ.</v>
      </c>
      <c r="G352" s="261" t="str">
        <f t="shared" si="125"/>
        <v>PROJ.</v>
      </c>
      <c r="H352" s="261" t="str">
        <f t="shared" si="125"/>
        <v>PROJ.</v>
      </c>
      <c r="I352" s="261" t="str">
        <f t="shared" si="125"/>
        <v>PROJ.</v>
      </c>
      <c r="J352" s="261" t="str">
        <f t="shared" si="125"/>
        <v>PROJ.</v>
      </c>
      <c r="K352" s="261" t="str">
        <f t="shared" si="125"/>
        <v>PROJ.</v>
      </c>
      <c r="L352" s="261" t="str">
        <f t="shared" si="125"/>
        <v>PROJ.</v>
      </c>
      <c r="M352" s="261" t="str">
        <f t="shared" si="125"/>
        <v>PROJ.</v>
      </c>
      <c r="N352" s="261" t="str">
        <f t="shared" si="125"/>
        <v>PROJ.</v>
      </c>
      <c r="O352" s="261" t="str">
        <f t="shared" si="125"/>
        <v>PROJ.</v>
      </c>
      <c r="P352" s="261" t="str">
        <f t="shared" si="125"/>
        <v>PROJ.</v>
      </c>
      <c r="Q352" s="261" t="str">
        <f t="shared" si="125"/>
        <v>PROJ.</v>
      </c>
      <c r="R352" s="261" t="str">
        <f t="shared" si="125"/>
        <v>PROJ.</v>
      </c>
      <c r="S352" s="261" t="str">
        <f t="shared" si="125"/>
        <v>PROJ.</v>
      </c>
      <c r="T352" s="261" t="str">
        <f t="shared" si="125"/>
        <v>PROJ.</v>
      </c>
      <c r="U352" s="261" t="str">
        <f t="shared" si="125"/>
        <v>PROJ.</v>
      </c>
      <c r="V352" s="613"/>
    </row>
    <row r="353" spans="1:22" ht="14.25" hidden="1" customHeight="1" x14ac:dyDescent="0.2">
      <c r="A353" s="287" t="s">
        <v>396</v>
      </c>
      <c r="B353" s="256">
        <f>B321</f>
        <v>0.8</v>
      </c>
      <c r="C353" s="256">
        <f>C321</f>
        <v>1.05</v>
      </c>
      <c r="D353" s="256">
        <f t="shared" ref="D353:U353" si="126">D321</f>
        <v>2.2000000000000002</v>
      </c>
      <c r="E353" s="256">
        <f t="shared" si="126"/>
        <v>4</v>
      </c>
      <c r="F353" s="256">
        <f t="shared" si="126"/>
        <v>20</v>
      </c>
      <c r="G353" s="256">
        <f t="shared" si="126"/>
        <v>34.28</v>
      </c>
      <c r="H353" s="256">
        <f t="shared" si="126"/>
        <v>40.42</v>
      </c>
      <c r="I353" s="256">
        <f t="shared" si="126"/>
        <v>44.09</v>
      </c>
      <c r="J353" s="256">
        <f t="shared" si="126"/>
        <v>47.96</v>
      </c>
      <c r="K353" s="256">
        <f t="shared" si="126"/>
        <v>52.03</v>
      </c>
      <c r="L353" s="256">
        <f t="shared" si="126"/>
        <v>56.2</v>
      </c>
      <c r="M353" s="256" t="str">
        <f t="shared" si="126"/>
        <v/>
      </c>
      <c r="N353" s="256" t="str">
        <f t="shared" si="126"/>
        <v/>
      </c>
      <c r="O353" s="256" t="str">
        <f t="shared" si="126"/>
        <v/>
      </c>
      <c r="P353" s="256" t="str">
        <f t="shared" si="126"/>
        <v/>
      </c>
      <c r="Q353" s="256" t="str">
        <f t="shared" si="126"/>
        <v/>
      </c>
      <c r="R353" s="256" t="str">
        <f t="shared" si="126"/>
        <v/>
      </c>
      <c r="S353" s="256" t="str">
        <f t="shared" si="126"/>
        <v/>
      </c>
      <c r="T353" s="256" t="str">
        <f t="shared" si="126"/>
        <v/>
      </c>
      <c r="U353" s="256" t="str">
        <f t="shared" si="126"/>
        <v/>
      </c>
      <c r="V353" s="612"/>
    </row>
    <row r="354" spans="1:22" ht="14.25" hidden="1" customHeight="1" x14ac:dyDescent="0.2">
      <c r="A354" s="287" t="s">
        <v>56</v>
      </c>
      <c r="B354" s="256">
        <f>B247</f>
        <v>9.9999999999999978E-2</v>
      </c>
      <c r="C354" s="256">
        <f>C247</f>
        <v>0.13</v>
      </c>
      <c r="D354" s="256">
        <f t="shared" ref="D354:U354" si="127">D247</f>
        <v>0.38000000000000017</v>
      </c>
      <c r="E354" s="256">
        <f t="shared" si="127"/>
        <v>0.30999999999999983</v>
      </c>
      <c r="F354" s="256">
        <f t="shared" si="127"/>
        <v>0.8200000000000004</v>
      </c>
      <c r="G354" s="256">
        <f t="shared" si="127"/>
        <v>1.7307250000000023</v>
      </c>
      <c r="H354" s="256">
        <f t="shared" si="127"/>
        <v>2.3448700000000016</v>
      </c>
      <c r="I354" s="256">
        <f t="shared" si="127"/>
        <v>2.6224675</v>
      </c>
      <c r="J354" s="256">
        <f t="shared" si="127"/>
        <v>2.8786849999999942</v>
      </c>
      <c r="K354" s="256">
        <f t="shared" si="127"/>
        <v>3.169150000000001</v>
      </c>
      <c r="L354" s="256">
        <f t="shared" si="127"/>
        <v>3.6418124999999986</v>
      </c>
      <c r="M354" s="256" t="str">
        <f t="shared" si="127"/>
        <v/>
      </c>
      <c r="N354" s="256" t="str">
        <f t="shared" si="127"/>
        <v/>
      </c>
      <c r="O354" s="256" t="str">
        <f t="shared" si="127"/>
        <v/>
      </c>
      <c r="P354" s="256" t="str">
        <f t="shared" si="127"/>
        <v/>
      </c>
      <c r="Q354" s="256" t="str">
        <f t="shared" si="127"/>
        <v/>
      </c>
      <c r="R354" s="256" t="str">
        <f t="shared" si="127"/>
        <v/>
      </c>
      <c r="S354" s="256" t="str">
        <f t="shared" si="127"/>
        <v/>
      </c>
      <c r="T354" s="256" t="str">
        <f t="shared" si="127"/>
        <v/>
      </c>
      <c r="U354" s="256" t="str">
        <f t="shared" si="127"/>
        <v/>
      </c>
      <c r="V354" s="612"/>
    </row>
    <row r="355" spans="1:22" ht="14.25" hidden="1" customHeight="1" x14ac:dyDescent="0.2">
      <c r="A355" s="287" t="s">
        <v>45</v>
      </c>
      <c r="B355" s="256">
        <f t="shared" ref="B355:C357" si="128">B322</f>
        <v>0.21000000000000002</v>
      </c>
      <c r="C355" s="256">
        <f t="shared" si="128"/>
        <v>0.37000000000000005</v>
      </c>
      <c r="D355" s="256">
        <f t="shared" ref="D355:U355" si="129">D322</f>
        <v>0.69</v>
      </c>
      <c r="E355" s="256">
        <f t="shared" si="129"/>
        <v>1.0699999999999998</v>
      </c>
      <c r="F355" s="256">
        <f t="shared" si="129"/>
        <v>6.3599999999999994</v>
      </c>
      <c r="G355" s="256">
        <f t="shared" si="129"/>
        <v>9.5449131250000008</v>
      </c>
      <c r="H355" s="256">
        <f t="shared" si="129"/>
        <v>12.09309575</v>
      </c>
      <c r="I355" s="256">
        <f t="shared" si="129"/>
        <v>13.575555187500001</v>
      </c>
      <c r="J355" s="256">
        <f t="shared" si="129"/>
        <v>14.913204124999998</v>
      </c>
      <c r="K355" s="256">
        <f t="shared" si="129"/>
        <v>16.003058750000001</v>
      </c>
      <c r="L355" s="256">
        <f t="shared" si="129"/>
        <v>16.699407812500002</v>
      </c>
      <c r="M355" s="256" t="str">
        <f t="shared" si="129"/>
        <v/>
      </c>
      <c r="N355" s="256" t="str">
        <f t="shared" si="129"/>
        <v/>
      </c>
      <c r="O355" s="256" t="str">
        <f t="shared" si="129"/>
        <v/>
      </c>
      <c r="P355" s="256" t="str">
        <f t="shared" si="129"/>
        <v/>
      </c>
      <c r="Q355" s="256" t="str">
        <f t="shared" si="129"/>
        <v/>
      </c>
      <c r="R355" s="256" t="str">
        <f t="shared" si="129"/>
        <v/>
      </c>
      <c r="S355" s="256" t="str">
        <f t="shared" si="129"/>
        <v/>
      </c>
      <c r="T355" s="256" t="str">
        <f t="shared" si="129"/>
        <v/>
      </c>
      <c r="U355" s="256" t="str">
        <f t="shared" si="129"/>
        <v/>
      </c>
      <c r="V355" s="612"/>
    </row>
    <row r="356" spans="1:22" ht="14.25" hidden="1" customHeight="1" x14ac:dyDescent="0.2">
      <c r="A356" s="287" t="s">
        <v>35</v>
      </c>
      <c r="B356" s="256">
        <f t="shared" si="128"/>
        <v>6.9999999999999979E-2</v>
      </c>
      <c r="C356" s="256">
        <f t="shared" si="128"/>
        <v>0.09</v>
      </c>
      <c r="D356" s="256">
        <f t="shared" ref="D356:U356" si="130">D323</f>
        <v>0.27000000000000018</v>
      </c>
      <c r="E356" s="256">
        <f t="shared" si="130"/>
        <v>0.21699999999999989</v>
      </c>
      <c r="F356" s="256">
        <f t="shared" si="130"/>
        <v>0.56000000000000028</v>
      </c>
      <c r="G356" s="256">
        <f t="shared" si="130"/>
        <v>1.1975075000000017</v>
      </c>
      <c r="H356" s="256">
        <f t="shared" si="130"/>
        <v>1.627409000000001</v>
      </c>
      <c r="I356" s="256">
        <f t="shared" si="130"/>
        <v>1.8217272499999999</v>
      </c>
      <c r="J356" s="256">
        <f t="shared" si="130"/>
        <v>2.0010794999999959</v>
      </c>
      <c r="K356" s="256">
        <f t="shared" si="130"/>
        <v>2.2184050000000006</v>
      </c>
      <c r="L356" s="256">
        <f t="shared" si="130"/>
        <v>2.5492687499999991</v>
      </c>
      <c r="M356" s="256" t="str">
        <f t="shared" si="130"/>
        <v/>
      </c>
      <c r="N356" s="256" t="str">
        <f t="shared" si="130"/>
        <v/>
      </c>
      <c r="O356" s="256" t="str">
        <f t="shared" si="130"/>
        <v/>
      </c>
      <c r="P356" s="256" t="str">
        <f t="shared" si="130"/>
        <v/>
      </c>
      <c r="Q356" s="256" t="str">
        <f t="shared" si="130"/>
        <v/>
      </c>
      <c r="R356" s="256" t="str">
        <f t="shared" si="130"/>
        <v/>
      </c>
      <c r="S356" s="256" t="str">
        <f t="shared" si="130"/>
        <v/>
      </c>
      <c r="T356" s="256" t="str">
        <f t="shared" si="130"/>
        <v/>
      </c>
      <c r="U356" s="256" t="str">
        <f t="shared" si="130"/>
        <v/>
      </c>
      <c r="V356" s="612"/>
    </row>
    <row r="357" spans="1:22" ht="14.25" hidden="1" customHeight="1" x14ac:dyDescent="0.2">
      <c r="A357" s="287" t="s">
        <v>47</v>
      </c>
      <c r="B357" s="256">
        <f t="shared" si="128"/>
        <v>9.9999999999999978E-2</v>
      </c>
      <c r="C357" s="256">
        <f t="shared" si="128"/>
        <v>0.11</v>
      </c>
      <c r="D357" s="256">
        <f t="shared" ref="D357:U357" si="131">D324</f>
        <v>0.2900000000000002</v>
      </c>
      <c r="E357" s="256">
        <f t="shared" si="131"/>
        <v>0.23699999999999988</v>
      </c>
      <c r="F357" s="256">
        <f t="shared" si="131"/>
        <v>2.1300000000000003</v>
      </c>
      <c r="G357" s="256">
        <f t="shared" si="131"/>
        <v>3.6775075000000017</v>
      </c>
      <c r="H357" s="256">
        <f t="shared" si="131"/>
        <v>3.7874090000000011</v>
      </c>
      <c r="I357" s="256">
        <f t="shared" si="131"/>
        <v>3.7017272499999998</v>
      </c>
      <c r="J357" s="256">
        <f t="shared" si="131"/>
        <v>3.6410794999999956</v>
      </c>
      <c r="K357" s="256">
        <f t="shared" si="131"/>
        <v>3.6484050000000003</v>
      </c>
      <c r="L357" s="256">
        <f t="shared" si="131"/>
        <v>3.7892687499999989</v>
      </c>
      <c r="M357" s="256" t="str">
        <f t="shared" si="131"/>
        <v/>
      </c>
      <c r="N357" s="256" t="str">
        <f t="shared" si="131"/>
        <v/>
      </c>
      <c r="O357" s="256" t="str">
        <f t="shared" si="131"/>
        <v/>
      </c>
      <c r="P357" s="256" t="str">
        <f t="shared" si="131"/>
        <v/>
      </c>
      <c r="Q357" s="256" t="str">
        <f t="shared" si="131"/>
        <v/>
      </c>
      <c r="R357" s="256" t="str">
        <f t="shared" si="131"/>
        <v/>
      </c>
      <c r="S357" s="256" t="str">
        <f t="shared" si="131"/>
        <v/>
      </c>
      <c r="T357" s="256" t="str">
        <f t="shared" si="131"/>
        <v/>
      </c>
      <c r="U357" s="256" t="str">
        <f t="shared" si="131"/>
        <v/>
      </c>
      <c r="V357" s="612"/>
    </row>
    <row r="358" spans="1:22" ht="14.25" hidden="1" customHeight="1" x14ac:dyDescent="0.2">
      <c r="A358" s="287" t="s">
        <v>17</v>
      </c>
      <c r="B358" s="256">
        <f>B267</f>
        <v>0.12999999999999998</v>
      </c>
      <c r="C358" s="256">
        <f>C267</f>
        <v>0.15</v>
      </c>
      <c r="D358" s="256">
        <f t="shared" ref="D358:U358" si="132">D267</f>
        <v>0.45000000000000018</v>
      </c>
      <c r="E358" s="256">
        <f t="shared" si="132"/>
        <v>0.79999999999999982</v>
      </c>
      <c r="F358" s="256">
        <f t="shared" si="132"/>
        <v>3.2800000000000007</v>
      </c>
      <c r="G358" s="256">
        <f t="shared" si="132"/>
        <v>5.3400000000000025</v>
      </c>
      <c r="H358" s="256">
        <f t="shared" si="132"/>
        <v>5.4500000000000028</v>
      </c>
      <c r="I358" s="256">
        <f t="shared" si="132"/>
        <v>5.3200000000000012</v>
      </c>
      <c r="J358" s="256">
        <f t="shared" si="132"/>
        <v>5.1799999999999944</v>
      </c>
      <c r="K358" s="256">
        <f t="shared" si="132"/>
        <v>5.1000000000000014</v>
      </c>
      <c r="L358" s="256">
        <f t="shared" si="132"/>
        <v>5.17</v>
      </c>
      <c r="M358" s="256" t="str">
        <f t="shared" si="132"/>
        <v/>
      </c>
      <c r="N358" s="256" t="str">
        <f t="shared" si="132"/>
        <v/>
      </c>
      <c r="O358" s="256" t="str">
        <f t="shared" si="132"/>
        <v/>
      </c>
      <c r="P358" s="256" t="str">
        <f t="shared" si="132"/>
        <v/>
      </c>
      <c r="Q358" s="256" t="str">
        <f t="shared" si="132"/>
        <v/>
      </c>
      <c r="R358" s="256" t="str">
        <f t="shared" si="132"/>
        <v/>
      </c>
      <c r="S358" s="256" t="str">
        <f t="shared" si="132"/>
        <v/>
      </c>
      <c r="T358" s="256" t="str">
        <f t="shared" si="132"/>
        <v/>
      </c>
      <c r="U358" s="256" t="str">
        <f t="shared" si="132"/>
        <v/>
      </c>
      <c r="V358" s="612"/>
    </row>
    <row r="359" spans="1:22" ht="15" hidden="1" customHeight="1" x14ac:dyDescent="0.25">
      <c r="A359" s="306" t="s">
        <v>464</v>
      </c>
      <c r="B359" s="255"/>
      <c r="C359" s="255"/>
      <c r="D359" s="255"/>
      <c r="E359" s="255"/>
      <c r="F359" s="255"/>
      <c r="G359" s="255"/>
      <c r="H359" s="255"/>
      <c r="I359" s="255"/>
      <c r="J359" s="255"/>
      <c r="K359" s="255"/>
      <c r="L359" s="255"/>
      <c r="M359" s="255"/>
      <c r="N359" s="255"/>
      <c r="O359" s="255"/>
      <c r="P359" s="255"/>
      <c r="Q359" s="255"/>
      <c r="R359" s="255"/>
      <c r="S359" s="255"/>
      <c r="T359" s="255"/>
      <c r="U359" s="255"/>
      <c r="V359" s="612"/>
    </row>
    <row r="360" spans="1:22" ht="15" hidden="1" customHeight="1" x14ac:dyDescent="0.25">
      <c r="A360" s="259" t="s">
        <v>465</v>
      </c>
      <c r="B360" s="255"/>
      <c r="C360" s="255"/>
      <c r="D360" s="255"/>
      <c r="E360" s="255"/>
      <c r="F360" s="255"/>
      <c r="G360" s="255"/>
      <c r="H360" s="255"/>
      <c r="I360" s="255"/>
      <c r="J360" s="255"/>
      <c r="K360" s="255"/>
      <c r="L360" s="255"/>
      <c r="M360" s="255"/>
      <c r="N360" s="255"/>
      <c r="O360" s="255"/>
      <c r="P360" s="255"/>
      <c r="Q360" s="255"/>
      <c r="R360" s="255"/>
      <c r="S360" s="255"/>
      <c r="T360" s="255"/>
      <c r="U360" s="255"/>
      <c r="V360" s="612"/>
    </row>
    <row r="361" spans="1:22" s="297" customFormat="1" ht="12.75" hidden="1" customHeight="1" x14ac:dyDescent="0.25">
      <c r="A361" s="296"/>
      <c r="B361" s="261">
        <f>B225</f>
        <v>2020</v>
      </c>
      <c r="C361" s="261">
        <f>C225</f>
        <v>2021</v>
      </c>
      <c r="D361" s="261">
        <f t="shared" ref="D361:U361" si="133">D225</f>
        <v>2022</v>
      </c>
      <c r="E361" s="261">
        <f t="shared" si="133"/>
        <v>2023</v>
      </c>
      <c r="F361" s="261">
        <f t="shared" si="133"/>
        <v>2024</v>
      </c>
      <c r="G361" s="261">
        <f t="shared" si="133"/>
        <v>2025</v>
      </c>
      <c r="H361" s="261">
        <f t="shared" si="133"/>
        <v>2026</v>
      </c>
      <c r="I361" s="261">
        <f t="shared" si="133"/>
        <v>2027</v>
      </c>
      <c r="J361" s="261">
        <f t="shared" si="133"/>
        <v>2028</v>
      </c>
      <c r="K361" s="261">
        <f t="shared" si="133"/>
        <v>2029</v>
      </c>
      <c r="L361" s="261">
        <f t="shared" si="133"/>
        <v>2030</v>
      </c>
      <c r="M361" s="261">
        <f t="shared" si="133"/>
        <v>2031</v>
      </c>
      <c r="N361" s="261">
        <f t="shared" si="133"/>
        <v>2032</v>
      </c>
      <c r="O361" s="261">
        <f t="shared" si="133"/>
        <v>2033</v>
      </c>
      <c r="P361" s="261">
        <f t="shared" si="133"/>
        <v>2034</v>
      </c>
      <c r="Q361" s="261">
        <f t="shared" si="133"/>
        <v>2035</v>
      </c>
      <c r="R361" s="261">
        <f t="shared" si="133"/>
        <v>2036</v>
      </c>
      <c r="S361" s="261">
        <f t="shared" si="133"/>
        <v>2037</v>
      </c>
      <c r="T361" s="261">
        <f t="shared" si="133"/>
        <v>2038</v>
      </c>
      <c r="U361" s="261">
        <f t="shared" si="133"/>
        <v>2039</v>
      </c>
      <c r="V361" s="613"/>
    </row>
    <row r="362" spans="1:22" s="297" customFormat="1" ht="12.75" hidden="1" customHeight="1" x14ac:dyDescent="0.25">
      <c r="A362" s="296"/>
      <c r="B362" s="261" t="str">
        <f>B352</f>
        <v>AUD.</v>
      </c>
      <c r="C362" s="261" t="str">
        <f>C352</f>
        <v>AUD.</v>
      </c>
      <c r="D362" s="261" t="str">
        <f t="shared" ref="D362:U362" si="134">D352</f>
        <v>AUD.</v>
      </c>
      <c r="E362" s="261" t="str">
        <f t="shared" si="134"/>
        <v>EST.</v>
      </c>
      <c r="F362" s="261" t="str">
        <f t="shared" si="134"/>
        <v>PROJ.</v>
      </c>
      <c r="G362" s="261" t="str">
        <f t="shared" si="134"/>
        <v>PROJ.</v>
      </c>
      <c r="H362" s="261" t="str">
        <f t="shared" si="134"/>
        <v>PROJ.</v>
      </c>
      <c r="I362" s="261" t="str">
        <f t="shared" si="134"/>
        <v>PROJ.</v>
      </c>
      <c r="J362" s="261" t="str">
        <f t="shared" si="134"/>
        <v>PROJ.</v>
      </c>
      <c r="K362" s="261" t="str">
        <f t="shared" si="134"/>
        <v>PROJ.</v>
      </c>
      <c r="L362" s="261" t="str">
        <f t="shared" si="134"/>
        <v>PROJ.</v>
      </c>
      <c r="M362" s="261" t="str">
        <f t="shared" si="134"/>
        <v>PROJ.</v>
      </c>
      <c r="N362" s="261" t="str">
        <f t="shared" si="134"/>
        <v>PROJ.</v>
      </c>
      <c r="O362" s="261" t="str">
        <f t="shared" si="134"/>
        <v>PROJ.</v>
      </c>
      <c r="P362" s="261" t="str">
        <f t="shared" si="134"/>
        <v>PROJ.</v>
      </c>
      <c r="Q362" s="261" t="str">
        <f t="shared" si="134"/>
        <v>PROJ.</v>
      </c>
      <c r="R362" s="261" t="str">
        <f t="shared" si="134"/>
        <v>PROJ.</v>
      </c>
      <c r="S362" s="261" t="str">
        <f t="shared" si="134"/>
        <v>PROJ.</v>
      </c>
      <c r="T362" s="261" t="str">
        <f t="shared" si="134"/>
        <v>PROJ.</v>
      </c>
      <c r="U362" s="261" t="str">
        <f t="shared" si="134"/>
        <v>PROJ.</v>
      </c>
      <c r="V362" s="613"/>
    </row>
    <row r="363" spans="1:22" s="315" customFormat="1" ht="14.25" hidden="1" customHeight="1" x14ac:dyDescent="0.2">
      <c r="A363" s="314" t="s">
        <v>407</v>
      </c>
      <c r="B363" s="272" t="str">
        <f>IF(ISERROR(Asset!C256),"",IF(Asset!C256=0,"",Asset!C256))</f>
        <v/>
      </c>
      <c r="C363" s="272" t="str">
        <f>IF(ISERROR(Asset!D256),"",IF(Asset!D256=0,"",Asset!D256))</f>
        <v/>
      </c>
      <c r="D363" s="272" t="str">
        <f>IF(ISERROR(Asset!E256),"",IF(Asset!E256=0,"",Asset!E256))</f>
        <v/>
      </c>
      <c r="E363" s="272" t="str">
        <f>IF(ISERROR(Asset!F256),"",IF(Asset!F256=0,"",Asset!F256))</f>
        <v/>
      </c>
      <c r="F363" s="272" t="str">
        <f>IF(ISERROR(Asset!G256),"",IF(Asset!G256=0,"",Asset!G256))</f>
        <v/>
      </c>
      <c r="G363" s="272" t="str">
        <f>IF(ISERROR(Asset!H256),"",IF(Asset!H256=0,"",Asset!H256))</f>
        <v/>
      </c>
      <c r="H363" s="272" t="str">
        <f>IF(ISERROR(Asset!I256),"",IF(Asset!I256=0,"",Asset!I256))</f>
        <v/>
      </c>
      <c r="I363" s="272" t="str">
        <f>IF(ISERROR(Asset!J256),"",IF(Asset!J256=0,"",Asset!J256))</f>
        <v/>
      </c>
      <c r="J363" s="272" t="str">
        <f>IF(ISERROR(Asset!K256),"",IF(Asset!K256=0,"",Asset!K256))</f>
        <v/>
      </c>
      <c r="K363" s="272" t="str">
        <f>IF(ISERROR(Asset!L256),"",IF(Asset!L256=0,"",Asset!L256))</f>
        <v/>
      </c>
      <c r="L363" s="272" t="str">
        <f>IF(ISERROR(Asset!M256),"",IF(Asset!M256=0,"",Asset!M256))</f>
        <v/>
      </c>
      <c r="M363" s="272" t="str">
        <f>IF(ISERROR(Asset!N256),"",IF(Asset!N256=0,"",Asset!N256))</f>
        <v/>
      </c>
      <c r="N363" s="272" t="str">
        <f>IF(ISERROR(Asset!O256),"",IF(Asset!O256=0,"",Asset!O256))</f>
        <v/>
      </c>
      <c r="O363" s="272" t="str">
        <f>IF(ISERROR(Asset!P256),"",IF(Asset!P256=0,"",Asset!P256))</f>
        <v/>
      </c>
      <c r="P363" s="272" t="str">
        <f>IF(ISERROR(Asset!Q256),"",IF(Asset!Q256=0,"",Asset!Q256))</f>
        <v/>
      </c>
      <c r="Q363" s="272" t="str">
        <f>IF(ISERROR(Asset!R256),"",IF(Asset!R256=0,"",Asset!R256))</f>
        <v/>
      </c>
      <c r="R363" s="272" t="str">
        <f>IF(ISERROR(Asset!S256),"",IF(Asset!S256=0,"",Asset!S256))</f>
        <v/>
      </c>
      <c r="S363" s="272" t="str">
        <f>IF(ISERROR(Asset!T256),"",IF(Asset!T256=0,"",Asset!T256))</f>
        <v/>
      </c>
      <c r="T363" s="272" t="str">
        <f>IF(ISERROR(Asset!U256),"",IF(Asset!U256=0,"",Asset!U256))</f>
        <v/>
      </c>
      <c r="U363" s="272" t="str">
        <f>IF(ISERROR(Asset!V256),"",IF(Asset!V256=0,"",Asset!V256))</f>
        <v/>
      </c>
      <c r="V363" s="623"/>
    </row>
    <row r="364" spans="1:22" s="297" customFormat="1" ht="14.25" hidden="1" customHeight="1" x14ac:dyDescent="0.25">
      <c r="A364" s="316" t="s">
        <v>408</v>
      </c>
      <c r="B364" s="273" t="str">
        <f>IF(ISERROR(B363/'Oper.St.'!C257*365),"",IF(B363/'Oper.St.'!C257*365=0,"",B363/'Oper.St.'!C257*365))</f>
        <v/>
      </c>
      <c r="C364" s="273" t="str">
        <f>IF(ISERROR(C363/'Oper.St.'!D257*365),"",IF(C363/'Oper.St.'!D257*365=0,"",C363/'Oper.St.'!D257*365))</f>
        <v/>
      </c>
      <c r="D364" s="273" t="str">
        <f>IF(ISERROR(D363/'Oper.St.'!E257*365),"",IF(D363/'Oper.St.'!E257*365=0,"",D363/'Oper.St.'!E257*365))</f>
        <v/>
      </c>
      <c r="E364" s="273" t="str">
        <f>IF(ISERROR(E363/'Oper.St.'!F257*365),"",IF(E363/'Oper.St.'!F257*365=0,"",E363/'Oper.St.'!F257*365))</f>
        <v/>
      </c>
      <c r="F364" s="273" t="str">
        <f>IF(ISERROR(F363/'Oper.St.'!G257*365),"",IF(F363/'Oper.St.'!G257*365=0,"",F363/'Oper.St.'!G257*365))</f>
        <v/>
      </c>
      <c r="G364" s="273" t="str">
        <f>IF(ISERROR(G363/'Oper.St.'!H257*365),"",IF(G363/'Oper.St.'!H257*365=0,"",G363/'Oper.St.'!H257*365))</f>
        <v/>
      </c>
      <c r="H364" s="273" t="str">
        <f>IF(ISERROR(H363/'Oper.St.'!I257*365),"",IF(H363/'Oper.St.'!I257*365=0,"",H363/'Oper.St.'!I257*365))</f>
        <v/>
      </c>
      <c r="I364" s="273" t="str">
        <f>IF(ISERROR(I363/'Oper.St.'!J257*365),"",IF(I363/'Oper.St.'!J257*365=0,"",I363/'Oper.St.'!J257*365))</f>
        <v/>
      </c>
      <c r="J364" s="273" t="str">
        <f>IF(ISERROR(J363/'Oper.St.'!K257*365),"",IF(J363/'Oper.St.'!K257*365=0,"",J363/'Oper.St.'!K257*365))</f>
        <v/>
      </c>
      <c r="K364" s="273" t="str">
        <f>IF(ISERROR(K363/'Oper.St.'!L257*365),"",IF(K363/'Oper.St.'!L257*365=0,"",K363/'Oper.St.'!L257*365))</f>
        <v/>
      </c>
      <c r="L364" s="273" t="str">
        <f>IF(ISERROR(L363/'Oper.St.'!M257*365),"",IF(L363/'Oper.St.'!M257*365=0,"",L363/'Oper.St.'!M257*365))</f>
        <v/>
      </c>
      <c r="M364" s="273" t="str">
        <f>IF(ISERROR(M363/'Oper.St.'!N257*365),"",IF(M363/'Oper.St.'!N257*365=0,"",M363/'Oper.St.'!N257*365))</f>
        <v/>
      </c>
      <c r="N364" s="273" t="str">
        <f>IF(ISERROR(N363/'Oper.St.'!O257*365),"",IF(N363/'Oper.St.'!O257*365=0,"",N363/'Oper.St.'!O257*365))</f>
        <v/>
      </c>
      <c r="O364" s="273" t="str">
        <f>IF(ISERROR(O363/'Oper.St.'!P257*365),"",IF(O363/'Oper.St.'!P257*365=0,"",O363/'Oper.St.'!P257*365))</f>
        <v/>
      </c>
      <c r="P364" s="273" t="str">
        <f>IF(ISERROR(P363/'Oper.St.'!Q257*365),"",IF(P363/'Oper.St.'!Q257*365=0,"",P363/'Oper.St.'!Q257*365))</f>
        <v/>
      </c>
      <c r="Q364" s="273" t="str">
        <f>IF(ISERROR(Q363/'Oper.St.'!R257*365),"",IF(Q363/'Oper.St.'!R257*365=0,"",Q363/'Oper.St.'!R257*365))</f>
        <v/>
      </c>
      <c r="R364" s="273" t="str">
        <f>IF(ISERROR(R363/'Oper.St.'!S257*365),"",IF(R363/'Oper.St.'!S257*365=0,"",R363/'Oper.St.'!S257*365))</f>
        <v/>
      </c>
      <c r="S364" s="273" t="str">
        <f>IF(ISERROR(S363/'Oper.St.'!T257*365),"",IF(S363/'Oper.St.'!T257*365=0,"",S363/'Oper.St.'!T257*365))</f>
        <v/>
      </c>
      <c r="T364" s="273" t="str">
        <f>IF(ISERROR(T363/'Oper.St.'!U257*365),"",IF(T363/'Oper.St.'!U257*365=0,"",T363/'Oper.St.'!U257*365))</f>
        <v/>
      </c>
      <c r="U364" s="273" t="str">
        <f>IF(ISERROR(U363/'Oper.St.'!V257*365),"",IF(U363/'Oper.St.'!V257*365=0,"",U363/'Oper.St.'!V257*365))</f>
        <v/>
      </c>
      <c r="V364" s="613"/>
    </row>
    <row r="365" spans="1:22" s="315" customFormat="1" ht="14.25" hidden="1" customHeight="1" x14ac:dyDescent="0.2">
      <c r="A365" s="314" t="s">
        <v>409</v>
      </c>
      <c r="B365" s="272" t="str">
        <f>IF(ISERROR(Asset!C257),"",IF(Asset!C257=0,"",Asset!C257))</f>
        <v/>
      </c>
      <c r="C365" s="272" t="str">
        <f>IF(ISERROR(Asset!D257),"",IF(Asset!D257=0,"",Asset!D257))</f>
        <v/>
      </c>
      <c r="D365" s="272" t="str">
        <f>IF(ISERROR(Asset!E257),"",IF(Asset!E257=0,"",Asset!E257))</f>
        <v/>
      </c>
      <c r="E365" s="272" t="str">
        <f>IF(ISERROR(Asset!F257),"",IF(Asset!F257=0,"",Asset!F257))</f>
        <v/>
      </c>
      <c r="F365" s="272" t="str">
        <f>IF(ISERROR(Asset!G257),"",IF(Asset!G257=0,"",Asset!G257))</f>
        <v/>
      </c>
      <c r="G365" s="272" t="str">
        <f>IF(ISERROR(Asset!H257),"",IF(Asset!H257=0,"",Asset!H257))</f>
        <v/>
      </c>
      <c r="H365" s="272" t="str">
        <f>IF(ISERROR(Asset!I257),"",IF(Asset!I257=0,"",Asset!I257))</f>
        <v/>
      </c>
      <c r="I365" s="272" t="str">
        <f>IF(ISERROR(Asset!J257),"",IF(Asset!J257=0,"",Asset!J257))</f>
        <v/>
      </c>
      <c r="J365" s="272" t="str">
        <f>IF(ISERROR(Asset!K257),"",IF(Asset!K257=0,"",Asset!K257))</f>
        <v/>
      </c>
      <c r="K365" s="272" t="str">
        <f>IF(ISERROR(Asset!L257),"",IF(Asset!L257=0,"",Asset!L257))</f>
        <v/>
      </c>
      <c r="L365" s="272" t="str">
        <f>IF(ISERROR(Asset!M257),"",IF(Asset!M257=0,"",Asset!M257))</f>
        <v/>
      </c>
      <c r="M365" s="272" t="str">
        <f>IF(ISERROR(Asset!N257),"",IF(Asset!N257=0,"",Asset!N257))</f>
        <v/>
      </c>
      <c r="N365" s="272" t="str">
        <f>IF(ISERROR(Asset!O257),"",IF(Asset!O257=0,"",Asset!O257))</f>
        <v/>
      </c>
      <c r="O365" s="272" t="str">
        <f>IF(ISERROR(Asset!P257),"",IF(Asset!P257=0,"",Asset!P257))</f>
        <v/>
      </c>
      <c r="P365" s="272" t="str">
        <f>IF(ISERROR(Asset!Q257),"",IF(Asset!Q257=0,"",Asset!Q257))</f>
        <v/>
      </c>
      <c r="Q365" s="272" t="str">
        <f>IF(ISERROR(Asset!R257),"",IF(Asset!R257=0,"",Asset!R257))</f>
        <v/>
      </c>
      <c r="R365" s="272" t="str">
        <f>IF(ISERROR(Asset!S257),"",IF(Asset!S257=0,"",Asset!S257))</f>
        <v/>
      </c>
      <c r="S365" s="272" t="str">
        <f>IF(ISERROR(Asset!T257),"",IF(Asset!T257=0,"",Asset!T257))</f>
        <v/>
      </c>
      <c r="T365" s="272" t="str">
        <f>IF(ISERROR(Asset!U257),"",IF(Asset!U257=0,"",Asset!U257))</f>
        <v/>
      </c>
      <c r="U365" s="272" t="str">
        <f>IF(ISERROR(Asset!V257),"",IF(Asset!V257=0,"",Asset!V257))</f>
        <v/>
      </c>
      <c r="V365" s="623"/>
    </row>
    <row r="366" spans="1:22" s="297" customFormat="1" ht="14.25" hidden="1" customHeight="1" x14ac:dyDescent="0.25">
      <c r="A366" s="316" t="s">
        <v>410</v>
      </c>
      <c r="B366" s="273" t="str">
        <f>IF(ISERROR(B365/'Oper.St.'!C258*365),"",IF(B365/'Oper.St.'!C258*365=0,"",B365/'Oper.St.'!C258*365))</f>
        <v/>
      </c>
      <c r="C366" s="273" t="str">
        <f>IF(ISERROR(C365/'Oper.St.'!D258*365),"",IF(C365/'Oper.St.'!D258*365=0,"",C365/'Oper.St.'!D258*365))</f>
        <v/>
      </c>
      <c r="D366" s="273" t="str">
        <f>IF(ISERROR(D365/'Oper.St.'!E258*365),"",IF(D365/'Oper.St.'!E258*365=0,"",D365/'Oper.St.'!E258*365))</f>
        <v/>
      </c>
      <c r="E366" s="273" t="str">
        <f>IF(ISERROR(E365/'Oper.St.'!F258*365),"",IF(E365/'Oper.St.'!F258*365=0,"",E365/'Oper.St.'!F258*365))</f>
        <v/>
      </c>
      <c r="F366" s="273" t="str">
        <f>IF(ISERROR(F365/'Oper.St.'!G258*365),"",IF(F365/'Oper.St.'!G258*365=0,"",F365/'Oper.St.'!G258*365))</f>
        <v/>
      </c>
      <c r="G366" s="273" t="str">
        <f>IF(ISERROR(G365/'Oper.St.'!H258*365),"",IF(G365/'Oper.St.'!H258*365=0,"",G365/'Oper.St.'!H258*365))</f>
        <v/>
      </c>
      <c r="H366" s="273" t="str">
        <f>IF(ISERROR(H365/'Oper.St.'!I258*365),"",IF(H365/'Oper.St.'!I258*365=0,"",H365/'Oper.St.'!I258*365))</f>
        <v/>
      </c>
      <c r="I366" s="273" t="str">
        <f>IF(ISERROR(I365/'Oper.St.'!J258*365),"",IF(I365/'Oper.St.'!J258*365=0,"",I365/'Oper.St.'!J258*365))</f>
        <v/>
      </c>
      <c r="J366" s="273" t="str">
        <f>IF(ISERROR(J365/'Oper.St.'!K258*365),"",IF(J365/'Oper.St.'!K258*365=0,"",J365/'Oper.St.'!K258*365))</f>
        <v/>
      </c>
      <c r="K366" s="273" t="str">
        <f>IF(ISERROR(K365/'Oper.St.'!L258*365),"",IF(K365/'Oper.St.'!L258*365=0,"",K365/'Oper.St.'!L258*365))</f>
        <v/>
      </c>
      <c r="L366" s="273" t="str">
        <f>IF(ISERROR(L365/'Oper.St.'!M258*365),"",IF(L365/'Oper.St.'!M258*365=0,"",L365/'Oper.St.'!M258*365))</f>
        <v/>
      </c>
      <c r="M366" s="273" t="str">
        <f>IF(ISERROR(M365/'Oper.St.'!N258*365),"",IF(M365/'Oper.St.'!N258*365=0,"",M365/'Oper.St.'!N258*365))</f>
        <v/>
      </c>
      <c r="N366" s="273" t="str">
        <f>IF(ISERROR(N365/'Oper.St.'!O258*365),"",IF(N365/'Oper.St.'!O258*365=0,"",N365/'Oper.St.'!O258*365))</f>
        <v/>
      </c>
      <c r="O366" s="273" t="str">
        <f>IF(ISERROR(O365/'Oper.St.'!P258*365),"",IF(O365/'Oper.St.'!P258*365=0,"",O365/'Oper.St.'!P258*365))</f>
        <v/>
      </c>
      <c r="P366" s="273" t="str">
        <f>IF(ISERROR(P365/'Oper.St.'!Q258*365),"",IF(P365/'Oper.St.'!Q258*365=0,"",P365/'Oper.St.'!Q258*365))</f>
        <v/>
      </c>
      <c r="Q366" s="273" t="str">
        <f>IF(ISERROR(Q365/'Oper.St.'!R258*365),"",IF(Q365/'Oper.St.'!R258*365=0,"",Q365/'Oper.St.'!R258*365))</f>
        <v/>
      </c>
      <c r="R366" s="273" t="str">
        <f>IF(ISERROR(R365/'Oper.St.'!S258*365),"",IF(R365/'Oper.St.'!S258*365=0,"",R365/'Oper.St.'!S258*365))</f>
        <v/>
      </c>
      <c r="S366" s="273" t="str">
        <f>IF(ISERROR(S365/'Oper.St.'!T258*365),"",IF(S365/'Oper.St.'!T258*365=0,"",S365/'Oper.St.'!T258*365))</f>
        <v/>
      </c>
      <c r="T366" s="273" t="str">
        <f>IF(ISERROR(T365/'Oper.St.'!U258*365),"",IF(T365/'Oper.St.'!U258*365=0,"",T365/'Oper.St.'!U258*365))</f>
        <v/>
      </c>
      <c r="U366" s="273" t="str">
        <f>IF(ISERROR(U365/'Oper.St.'!V258*365),"",IF(U365/'Oper.St.'!V258*365=0,"",U365/'Oper.St.'!V258*365))</f>
        <v/>
      </c>
      <c r="V366" s="613"/>
    </row>
    <row r="367" spans="1:22" s="315" customFormat="1" ht="14.25" hidden="1" customHeight="1" x14ac:dyDescent="0.2">
      <c r="A367" s="314" t="s">
        <v>403</v>
      </c>
      <c r="B367" s="272" t="str">
        <f>IF(ISERROR(Asset!C259),"",IF(Asset!C259=0,"",Asset!C259))</f>
        <v/>
      </c>
      <c r="C367" s="272" t="str">
        <f>IF(ISERROR(Asset!D259),"",IF(Asset!D259=0,"",Asset!D259))</f>
        <v/>
      </c>
      <c r="D367" s="272" t="str">
        <f>IF(ISERROR(Asset!E259),"",IF(Asset!E259=0,"",Asset!E259))</f>
        <v/>
      </c>
      <c r="E367" s="272" t="str">
        <f>IF(ISERROR(Asset!F259),"",IF(Asset!F259=0,"",Asset!F259))</f>
        <v/>
      </c>
      <c r="F367" s="272" t="str">
        <f>IF(ISERROR(Asset!G259),"",IF(Asset!G259=0,"",Asset!G259))</f>
        <v/>
      </c>
      <c r="G367" s="272" t="str">
        <f>IF(ISERROR(Asset!H259),"",IF(Asset!H259=0,"",Asset!H259))</f>
        <v/>
      </c>
      <c r="H367" s="272" t="str">
        <f>IF(ISERROR(Asset!I259),"",IF(Asset!I259=0,"",Asset!I259))</f>
        <v/>
      </c>
      <c r="I367" s="272" t="str">
        <f>IF(ISERROR(Asset!J259),"",IF(Asset!J259=0,"",Asset!J259))</f>
        <v/>
      </c>
      <c r="J367" s="272" t="str">
        <f>IF(ISERROR(Asset!K259),"",IF(Asset!K259=0,"",Asset!K259))</f>
        <v/>
      </c>
      <c r="K367" s="272" t="str">
        <f>IF(ISERROR(Asset!L259),"",IF(Asset!L259=0,"",Asset!L259))</f>
        <v/>
      </c>
      <c r="L367" s="272" t="str">
        <f>IF(ISERROR(Asset!M259),"",IF(Asset!M259=0,"",Asset!M259))</f>
        <v/>
      </c>
      <c r="M367" s="272" t="str">
        <f>IF(ISERROR(Asset!N259),"",IF(Asset!N259=0,"",Asset!N259))</f>
        <v/>
      </c>
      <c r="N367" s="272" t="str">
        <f>IF(ISERROR(Asset!O259),"",IF(Asset!O259=0,"",Asset!O259))</f>
        <v/>
      </c>
      <c r="O367" s="272" t="str">
        <f>IF(ISERROR(Asset!P259),"",IF(Asset!P259=0,"",Asset!P259))</f>
        <v/>
      </c>
      <c r="P367" s="272" t="str">
        <f>IF(ISERROR(Asset!Q259),"",IF(Asset!Q259=0,"",Asset!Q259))</f>
        <v/>
      </c>
      <c r="Q367" s="272" t="str">
        <f>IF(ISERROR(Asset!R259),"",IF(Asset!R259=0,"",Asset!R259))</f>
        <v/>
      </c>
      <c r="R367" s="272" t="str">
        <f>IF(ISERROR(Asset!S259),"",IF(Asset!S259=0,"",Asset!S259))</f>
        <v/>
      </c>
      <c r="S367" s="272" t="str">
        <f>IF(ISERROR(Asset!T259),"",IF(Asset!T259=0,"",Asset!T259))</f>
        <v/>
      </c>
      <c r="T367" s="272" t="str">
        <f>IF(ISERROR(Asset!U259),"",IF(Asset!U259=0,"",Asset!U259))</f>
        <v/>
      </c>
      <c r="U367" s="272" t="str">
        <f>IF(ISERROR(Asset!V259),"",IF(Asset!V259=0,"",Asset!V259))</f>
        <v/>
      </c>
      <c r="V367" s="623"/>
    </row>
    <row r="368" spans="1:22" s="297" customFormat="1" ht="14.25" hidden="1" customHeight="1" x14ac:dyDescent="0.25">
      <c r="A368" s="316" t="s">
        <v>404</v>
      </c>
      <c r="B368" s="273" t="str">
        <f>IF(ISERROR(B367/'Oper.St.'!C286*365),"",IF(B367/'Oper.St.'!C286*365=0,"",B367/'Oper.St.'!C286*365))</f>
        <v/>
      </c>
      <c r="C368" s="273" t="str">
        <f>IF(ISERROR(C367/'Oper.St.'!D286*365),"",IF(C367/'Oper.St.'!D286*365=0,"",C367/'Oper.St.'!D286*365))</f>
        <v/>
      </c>
      <c r="D368" s="273" t="str">
        <f>IF(ISERROR(D367/'Oper.St.'!E286*365),"",IF(D367/'Oper.St.'!E286*365=0,"",D367/'Oper.St.'!E286*365))</f>
        <v/>
      </c>
      <c r="E368" s="273" t="str">
        <f>IF(ISERROR(E367/'Oper.St.'!F286*365),"",IF(E367/'Oper.St.'!F286*365=0,"",E367/'Oper.St.'!F286*365))</f>
        <v/>
      </c>
      <c r="F368" s="273" t="str">
        <f>IF(ISERROR(F367/'Oper.St.'!G286*365),"",IF(F367/'Oper.St.'!G286*365=0,"",F367/'Oper.St.'!G286*365))</f>
        <v/>
      </c>
      <c r="G368" s="273" t="str">
        <f>IF(ISERROR(G367/'Oper.St.'!H286*365),"",IF(G367/'Oper.St.'!H286*365=0,"",G367/'Oper.St.'!H286*365))</f>
        <v/>
      </c>
      <c r="H368" s="273" t="str">
        <f>IF(ISERROR(H367/'Oper.St.'!I286*365),"",IF(H367/'Oper.St.'!I286*365=0,"",H367/'Oper.St.'!I286*365))</f>
        <v/>
      </c>
      <c r="I368" s="273" t="str">
        <f>IF(ISERROR(I367/'Oper.St.'!J286*365),"",IF(I367/'Oper.St.'!J286*365=0,"",I367/'Oper.St.'!J286*365))</f>
        <v/>
      </c>
      <c r="J368" s="273" t="str">
        <f>IF(ISERROR(J367/'Oper.St.'!K286*365),"",IF(J367/'Oper.St.'!K286*365=0,"",J367/'Oper.St.'!K286*365))</f>
        <v/>
      </c>
      <c r="K368" s="273" t="str">
        <f>IF(ISERROR(K367/'Oper.St.'!L286*365),"",IF(K367/'Oper.St.'!L286*365=0,"",K367/'Oper.St.'!L286*365))</f>
        <v/>
      </c>
      <c r="L368" s="273" t="str">
        <f>IF(ISERROR(L367/'Oper.St.'!M286*365),"",IF(L367/'Oper.St.'!M286*365=0,"",L367/'Oper.St.'!M286*365))</f>
        <v/>
      </c>
      <c r="M368" s="273" t="str">
        <f>IF(ISERROR(M367/'Oper.St.'!N286*365),"",IF(M367/'Oper.St.'!N286*365=0,"",M367/'Oper.St.'!N286*365))</f>
        <v/>
      </c>
      <c r="N368" s="273" t="str">
        <f>IF(ISERROR(N367/'Oper.St.'!O286*365),"",IF(N367/'Oper.St.'!O286*365=0,"",N367/'Oper.St.'!O286*365))</f>
        <v/>
      </c>
      <c r="O368" s="273" t="str">
        <f>IF(ISERROR(O367/'Oper.St.'!P286*365),"",IF(O367/'Oper.St.'!P286*365=0,"",O367/'Oper.St.'!P286*365))</f>
        <v/>
      </c>
      <c r="P368" s="273" t="str">
        <f>IF(ISERROR(P367/'Oper.St.'!Q286*365),"",IF(P367/'Oper.St.'!Q286*365=0,"",P367/'Oper.St.'!Q286*365))</f>
        <v/>
      </c>
      <c r="Q368" s="273" t="str">
        <f>IF(ISERROR(Q367/'Oper.St.'!R286*365),"",IF(Q367/'Oper.St.'!R286*365=0,"",Q367/'Oper.St.'!R286*365))</f>
        <v/>
      </c>
      <c r="R368" s="273" t="str">
        <f>IF(ISERROR(R367/'Oper.St.'!S286*365),"",IF(R367/'Oper.St.'!S286*365=0,"",R367/'Oper.St.'!S286*365))</f>
        <v/>
      </c>
      <c r="S368" s="273" t="str">
        <f>IF(ISERROR(S367/'Oper.St.'!T286*365),"",IF(S367/'Oper.St.'!T286*365=0,"",S367/'Oper.St.'!T286*365))</f>
        <v/>
      </c>
      <c r="T368" s="273" t="str">
        <f>IF(ISERROR(T367/'Oper.St.'!U286*365),"",IF(T367/'Oper.St.'!U286*365=0,"",T367/'Oper.St.'!U286*365))</f>
        <v/>
      </c>
      <c r="U368" s="273" t="str">
        <f>IF(ISERROR(U367/'Oper.St.'!V286*365),"",IF(U367/'Oper.St.'!V286*365=0,"",U367/'Oper.St.'!V286*365))</f>
        <v/>
      </c>
      <c r="V368" s="613"/>
    </row>
    <row r="369" spans="1:22" s="315" customFormat="1" ht="14.25" hidden="1" customHeight="1" x14ac:dyDescent="0.2">
      <c r="A369" s="314" t="s">
        <v>405</v>
      </c>
      <c r="B369" s="272" t="str">
        <f>IF(ISERROR(Asset!C260),"",IF(Asset!C260=0,"",Asset!C260))</f>
        <v/>
      </c>
      <c r="C369" s="272" t="str">
        <f>IF(ISERROR(Asset!D260),"",IF(Asset!D260=0,"",Asset!D260))</f>
        <v/>
      </c>
      <c r="D369" s="272" t="str">
        <f>IF(ISERROR(Asset!E260),"",IF(Asset!E260=0,"",Asset!E260))</f>
        <v/>
      </c>
      <c r="E369" s="272" t="str">
        <f>IF(ISERROR(Asset!F260),"",IF(Asset!F260=0,"",Asset!F260))</f>
        <v/>
      </c>
      <c r="F369" s="272" t="str">
        <f>IF(ISERROR(Asset!G260),"",IF(Asset!G260=0,"",Asset!G260))</f>
        <v/>
      </c>
      <c r="G369" s="272" t="str">
        <f>IF(ISERROR(Asset!H260),"",IF(Asset!H260=0,"",Asset!H260))</f>
        <v/>
      </c>
      <c r="H369" s="272" t="str">
        <f>IF(ISERROR(Asset!I260),"",IF(Asset!I260=0,"",Asset!I260))</f>
        <v/>
      </c>
      <c r="I369" s="272" t="str">
        <f>IF(ISERROR(Asset!J260),"",IF(Asset!J260=0,"",Asset!J260))</f>
        <v/>
      </c>
      <c r="J369" s="272" t="str">
        <f>IF(ISERROR(Asset!K260),"",IF(Asset!K260=0,"",Asset!K260))</f>
        <v/>
      </c>
      <c r="K369" s="272" t="str">
        <f>IF(ISERROR(Asset!L260),"",IF(Asset!L260=0,"",Asset!L260))</f>
        <v/>
      </c>
      <c r="L369" s="272" t="str">
        <f>IF(ISERROR(Asset!M260),"",IF(Asset!M260=0,"",Asset!M260))</f>
        <v/>
      </c>
      <c r="M369" s="272" t="str">
        <f>IF(ISERROR(Asset!N260),"",IF(Asset!N260=0,"",Asset!N260))</f>
        <v/>
      </c>
      <c r="N369" s="272" t="str">
        <f>IF(ISERROR(Asset!O260),"",IF(Asset!O260=0,"",Asset!O260))</f>
        <v/>
      </c>
      <c r="O369" s="272" t="str">
        <f>IF(ISERROR(Asset!P260),"",IF(Asset!P260=0,"",Asset!P260))</f>
        <v/>
      </c>
      <c r="P369" s="272" t="str">
        <f>IF(ISERROR(Asset!Q260),"",IF(Asset!Q260=0,"",Asset!Q260))</f>
        <v/>
      </c>
      <c r="Q369" s="272" t="str">
        <f>IF(ISERROR(Asset!R260),"",IF(Asset!R260=0,"",Asset!R260))</f>
        <v/>
      </c>
      <c r="R369" s="272" t="str">
        <f>IF(ISERROR(Asset!S260),"",IF(Asset!S260=0,"",Asset!S260))</f>
        <v/>
      </c>
      <c r="S369" s="272" t="str">
        <f>IF(ISERROR(Asset!T260),"",IF(Asset!T260=0,"",Asset!T260))</f>
        <v/>
      </c>
      <c r="T369" s="272" t="str">
        <f>IF(ISERROR(Asset!U260),"",IF(Asset!U260=0,"",Asset!U260))</f>
        <v/>
      </c>
      <c r="U369" s="272" t="str">
        <f>IF(ISERROR(Asset!V260),"",IF(Asset!V260=0,"",Asset!V260))</f>
        <v/>
      </c>
      <c r="V369" s="623"/>
    </row>
    <row r="370" spans="1:22" s="297" customFormat="1" ht="14.25" hidden="1" customHeight="1" x14ac:dyDescent="0.25">
      <c r="A370" s="316" t="s">
        <v>415</v>
      </c>
      <c r="B370" s="273" t="str">
        <f>IF(ISERROR(B369/'Oper.St.'!C290*365),"",IF(B369/'Oper.St.'!C290*365=0,"",B369/'Oper.St.'!C290*365))</f>
        <v/>
      </c>
      <c r="C370" s="273" t="str">
        <f>IF(ISERROR(C369/'Oper.St.'!D290*365),"",IF(C369/'Oper.St.'!D290*365=0,"",C369/'Oper.St.'!D290*365))</f>
        <v/>
      </c>
      <c r="D370" s="273" t="str">
        <f>IF(ISERROR(D369/'Oper.St.'!E290*365),"",IF(D369/'Oper.St.'!E290*365=0,"",D369/'Oper.St.'!E290*365))</f>
        <v/>
      </c>
      <c r="E370" s="273" t="str">
        <f>IF(ISERROR(E369/'Oper.St.'!F290*365),"",IF(E369/'Oper.St.'!F290*365=0,"",E369/'Oper.St.'!F290*365))</f>
        <v/>
      </c>
      <c r="F370" s="273" t="str">
        <f>IF(ISERROR(F369/'Oper.St.'!G290*365),"",IF(F369/'Oper.St.'!G290*365=0,"",F369/'Oper.St.'!G290*365))</f>
        <v/>
      </c>
      <c r="G370" s="273" t="str">
        <f>IF(ISERROR(G369/'Oper.St.'!H290*365),"",IF(G369/'Oper.St.'!H290*365=0,"",G369/'Oper.St.'!H290*365))</f>
        <v/>
      </c>
      <c r="H370" s="273" t="str">
        <f>IF(ISERROR(H369/'Oper.St.'!I290*365),"",IF(H369/'Oper.St.'!I290*365=0,"",H369/'Oper.St.'!I290*365))</f>
        <v/>
      </c>
      <c r="I370" s="273" t="str">
        <f>IF(ISERROR(I369/'Oper.St.'!J290*365),"",IF(I369/'Oper.St.'!J290*365=0,"",I369/'Oper.St.'!J290*365))</f>
        <v/>
      </c>
      <c r="J370" s="273" t="str">
        <f>IF(ISERROR(J369/'Oper.St.'!K290*365),"",IF(J369/'Oper.St.'!K290*365=0,"",J369/'Oper.St.'!K290*365))</f>
        <v/>
      </c>
      <c r="K370" s="273" t="str">
        <f>IF(ISERROR(K369/'Oper.St.'!L290*365),"",IF(K369/'Oper.St.'!L290*365=0,"",K369/'Oper.St.'!L290*365))</f>
        <v/>
      </c>
      <c r="L370" s="273" t="str">
        <f>IF(ISERROR(L369/'Oper.St.'!M290*365),"",IF(L369/'Oper.St.'!M290*365=0,"",L369/'Oper.St.'!M290*365))</f>
        <v/>
      </c>
      <c r="M370" s="273" t="str">
        <f>IF(ISERROR(M369/'Oper.St.'!N290*365),"",IF(M369/'Oper.St.'!N290*365=0,"",M369/'Oper.St.'!N290*365))</f>
        <v/>
      </c>
      <c r="N370" s="273" t="str">
        <f>IF(ISERROR(N369/'Oper.St.'!O290*365),"",IF(N369/'Oper.St.'!O290*365=0,"",N369/'Oper.St.'!O290*365))</f>
        <v/>
      </c>
      <c r="O370" s="273" t="str">
        <f>IF(ISERROR(O369/'Oper.St.'!P290*365),"",IF(O369/'Oper.St.'!P290*365=0,"",O369/'Oper.St.'!P290*365))</f>
        <v/>
      </c>
      <c r="P370" s="273" t="str">
        <f>IF(ISERROR(P369/'Oper.St.'!Q290*365),"",IF(P369/'Oper.St.'!Q290*365=0,"",P369/'Oper.St.'!Q290*365))</f>
        <v/>
      </c>
      <c r="Q370" s="273" t="str">
        <f>IF(ISERROR(Q369/'Oper.St.'!R290*365),"",IF(Q369/'Oper.St.'!R290*365=0,"",Q369/'Oper.St.'!R290*365))</f>
        <v/>
      </c>
      <c r="R370" s="273" t="str">
        <f>IF(ISERROR(R369/'Oper.St.'!S290*365),"",IF(R369/'Oper.St.'!S290*365=0,"",R369/'Oper.St.'!S290*365))</f>
        <v/>
      </c>
      <c r="S370" s="273" t="str">
        <f>IF(ISERROR(S369/'Oper.St.'!T290*365),"",IF(S369/'Oper.St.'!T290*365=0,"",S369/'Oper.St.'!T290*365))</f>
        <v/>
      </c>
      <c r="T370" s="273" t="str">
        <f>IF(ISERROR(T369/'Oper.St.'!U290*365),"",IF(T369/'Oper.St.'!U290*365=0,"",T369/'Oper.St.'!U290*365))</f>
        <v/>
      </c>
      <c r="U370" s="273" t="str">
        <f>IF(ISERROR(U369/'Oper.St.'!V290*365),"",IF(U369/'Oper.St.'!V290*365=0,"",U369/'Oper.St.'!V290*365))</f>
        <v/>
      </c>
      <c r="V370" s="613"/>
    </row>
    <row r="371" spans="1:22" s="315" customFormat="1" ht="14.25" hidden="1" customHeight="1" x14ac:dyDescent="0.2">
      <c r="A371" s="314" t="s">
        <v>411</v>
      </c>
      <c r="B371" s="272" t="str">
        <f>IF(ISERROR(Asset!C247+Asset!C301),"",IF(Asset!C247+Asset!C301=0,"",Asset!C247+Asset!C301))</f>
        <v/>
      </c>
      <c r="C371" s="272" t="str">
        <f>IF(ISERROR(Asset!D247+Asset!D301),"",IF(Asset!D247+Asset!D301=0,"",Asset!D247+Asset!D301))</f>
        <v/>
      </c>
      <c r="D371" s="272" t="str">
        <f>IF(ISERROR(Asset!E247+Asset!E301),"",IF(Asset!E247+Asset!E301=0,"",Asset!E247+Asset!E301))</f>
        <v/>
      </c>
      <c r="E371" s="272" t="str">
        <f>IF(ISERROR(Asset!F247+Asset!F301),"",IF(Asset!F247+Asset!F301=0,"",Asset!F247+Asset!F301))</f>
        <v/>
      </c>
      <c r="F371" s="272" t="str">
        <f>IF(ISERROR(Asset!G247+Asset!G301),"",IF(Asset!G247+Asset!G301=0,"",Asset!G247+Asset!G301))</f>
        <v/>
      </c>
      <c r="G371" s="272" t="str">
        <f>IF(ISERROR(Asset!H247+Asset!H301),"",IF(Asset!H247+Asset!H301=0,"",Asset!H247+Asset!H301))</f>
        <v/>
      </c>
      <c r="H371" s="272" t="str">
        <f>IF(ISERROR(Asset!I247+Asset!I301),"",IF(Asset!I247+Asset!I301=0,"",Asset!I247+Asset!I301))</f>
        <v/>
      </c>
      <c r="I371" s="272" t="str">
        <f>IF(ISERROR(Asset!J247+Asset!J301),"",IF(Asset!J247+Asset!J301=0,"",Asset!J247+Asset!J301))</f>
        <v/>
      </c>
      <c r="J371" s="272" t="str">
        <f>IF(ISERROR(Asset!K247+Asset!K301),"",IF(Asset!K247+Asset!K301=0,"",Asset!K247+Asset!K301))</f>
        <v/>
      </c>
      <c r="K371" s="272" t="str">
        <f>IF(ISERROR(Asset!L247+Asset!L301),"",IF(Asset!L247+Asset!L301=0,"",Asset!L247+Asset!L301))</f>
        <v/>
      </c>
      <c r="L371" s="272" t="str">
        <f>IF(ISERROR(Asset!M247+Asset!M301),"",IF(Asset!M247+Asset!M301=0,"",Asset!M247+Asset!M301))</f>
        <v/>
      </c>
      <c r="M371" s="272" t="str">
        <f>IF(ISERROR(Asset!N247+Asset!N301),"",IF(Asset!N247+Asset!N301=0,"",Asset!N247+Asset!N301))</f>
        <v/>
      </c>
      <c r="N371" s="272" t="str">
        <f>IF(ISERROR(Asset!O247+Asset!O301),"",IF(Asset!O247+Asset!O301=0,"",Asset!O247+Asset!O301))</f>
        <v/>
      </c>
      <c r="O371" s="272" t="str">
        <f>IF(ISERROR(Asset!P247+Asset!P301),"",IF(Asset!P247+Asset!P301=0,"",Asset!P247+Asset!P301))</f>
        <v/>
      </c>
      <c r="P371" s="272" t="str">
        <f>IF(ISERROR(Asset!Q247+Asset!Q301),"",IF(Asset!Q247+Asset!Q301=0,"",Asset!Q247+Asset!Q301))</f>
        <v/>
      </c>
      <c r="Q371" s="272" t="str">
        <f>IF(ISERROR(Asset!R247+Asset!R301),"",IF(Asset!R247+Asset!R301=0,"",Asset!R247+Asset!R301))</f>
        <v/>
      </c>
      <c r="R371" s="272" t="str">
        <f>IF(ISERROR(Asset!S247+Asset!S301),"",IF(Asset!S247+Asset!S301=0,"",Asset!S247+Asset!S301))</f>
        <v/>
      </c>
      <c r="S371" s="272" t="str">
        <f>IF(ISERROR(Asset!T247+Asset!T301),"",IF(Asset!T247+Asset!T301=0,"",Asset!T247+Asset!T301))</f>
        <v/>
      </c>
      <c r="T371" s="272" t="str">
        <f>IF(ISERROR(Asset!U247+Asset!U301),"",IF(Asset!U247+Asset!U301=0,"",Asset!U247+Asset!U301))</f>
        <v/>
      </c>
      <c r="U371" s="272" t="str">
        <f>IF(ISERROR(Asset!V247+Asset!V301),"",IF(Asset!V247+Asset!V301=0,"",Asset!V247+Asset!V301))</f>
        <v/>
      </c>
      <c r="V371" s="623"/>
    </row>
    <row r="372" spans="1:22" s="297" customFormat="1" ht="14.25" hidden="1" customHeight="1" x14ac:dyDescent="0.25">
      <c r="A372" s="316" t="s">
        <v>412</v>
      </c>
      <c r="B372" s="273" t="str">
        <f>IF(ISERROR(B371/'Oper.St.'!C239*365),"",IF(B371/'Oper.St.'!C239*365=0,"",B371/'Oper.St.'!C239*365))</f>
        <v/>
      </c>
      <c r="C372" s="273" t="str">
        <f>IF(ISERROR(C371/'Oper.St.'!D239*365),"",IF(C371/'Oper.St.'!D239*365=0,"",C371/'Oper.St.'!D239*365))</f>
        <v/>
      </c>
      <c r="D372" s="273" t="str">
        <f>IF(ISERROR(D371/'Oper.St.'!E239*365),"",IF(D371/'Oper.St.'!E239*365=0,"",D371/'Oper.St.'!E239*365))</f>
        <v/>
      </c>
      <c r="E372" s="273" t="str">
        <f>IF(ISERROR(E371/'Oper.St.'!F239*365),"",IF(E371/'Oper.St.'!F239*365=0,"",E371/'Oper.St.'!F239*365))</f>
        <v/>
      </c>
      <c r="F372" s="273" t="str">
        <f>IF(ISERROR(F371/'Oper.St.'!G239*365),"",IF(F371/'Oper.St.'!G239*365=0,"",F371/'Oper.St.'!G239*365))</f>
        <v/>
      </c>
      <c r="G372" s="273" t="str">
        <f>IF(ISERROR(G371/'Oper.St.'!H239*365),"",IF(G371/'Oper.St.'!H239*365=0,"",G371/'Oper.St.'!H239*365))</f>
        <v/>
      </c>
      <c r="H372" s="273" t="str">
        <f>IF(ISERROR(H371/'Oper.St.'!I239*365),"",IF(H371/'Oper.St.'!I239*365=0,"",H371/'Oper.St.'!I239*365))</f>
        <v/>
      </c>
      <c r="I372" s="273" t="str">
        <f>IF(ISERROR(I371/'Oper.St.'!J239*365),"",IF(I371/'Oper.St.'!J239*365=0,"",I371/'Oper.St.'!J239*365))</f>
        <v/>
      </c>
      <c r="J372" s="273" t="str">
        <f>IF(ISERROR(J371/'Oper.St.'!K239*365),"",IF(J371/'Oper.St.'!K239*365=0,"",J371/'Oper.St.'!K239*365))</f>
        <v/>
      </c>
      <c r="K372" s="273" t="str">
        <f>IF(ISERROR(K371/'Oper.St.'!L239*365),"",IF(K371/'Oper.St.'!L239*365=0,"",K371/'Oper.St.'!L239*365))</f>
        <v/>
      </c>
      <c r="L372" s="273" t="str">
        <f>IF(ISERROR(L371/'Oper.St.'!M239*365),"",IF(L371/'Oper.St.'!M239*365=0,"",L371/'Oper.St.'!M239*365))</f>
        <v/>
      </c>
      <c r="M372" s="273" t="str">
        <f>IF(ISERROR(M371/'Oper.St.'!N239*365),"",IF(M371/'Oper.St.'!N239*365=0,"",M371/'Oper.St.'!N239*365))</f>
        <v/>
      </c>
      <c r="N372" s="273" t="str">
        <f>IF(ISERROR(N371/'Oper.St.'!O239*365),"",IF(N371/'Oper.St.'!O239*365=0,"",N371/'Oper.St.'!O239*365))</f>
        <v/>
      </c>
      <c r="O372" s="273" t="str">
        <f>IF(ISERROR(O371/'Oper.St.'!P239*365),"",IF(O371/'Oper.St.'!P239*365=0,"",O371/'Oper.St.'!P239*365))</f>
        <v/>
      </c>
      <c r="P372" s="273" t="str">
        <f>IF(ISERROR(P371/'Oper.St.'!Q239*365),"",IF(P371/'Oper.St.'!Q239*365=0,"",P371/'Oper.St.'!Q239*365))</f>
        <v/>
      </c>
      <c r="Q372" s="273" t="str">
        <f>IF(ISERROR(Q371/'Oper.St.'!R239*365),"",IF(Q371/'Oper.St.'!R239*365=0,"",Q371/'Oper.St.'!R239*365))</f>
        <v/>
      </c>
      <c r="R372" s="273" t="str">
        <f>IF(ISERROR(R371/'Oper.St.'!S239*365),"",IF(R371/'Oper.St.'!S239*365=0,"",R371/'Oper.St.'!S239*365))</f>
        <v/>
      </c>
      <c r="S372" s="273" t="str">
        <f>IF(ISERROR(S371/'Oper.St.'!T239*365),"",IF(S371/'Oper.St.'!T239*365=0,"",S371/'Oper.St.'!T239*365))</f>
        <v/>
      </c>
      <c r="T372" s="273" t="str">
        <f>IF(ISERROR(T371/'Oper.St.'!U239*365),"",IF(T371/'Oper.St.'!U239*365=0,"",T371/'Oper.St.'!U239*365))</f>
        <v/>
      </c>
      <c r="U372" s="273" t="str">
        <f>IF(ISERROR(U371/'Oper.St.'!V239*365),"",IF(U371/'Oper.St.'!V239*365=0,"",U371/'Oper.St.'!V239*365))</f>
        <v/>
      </c>
      <c r="V372" s="613"/>
    </row>
    <row r="373" spans="1:22" s="315" customFormat="1" ht="14.25" hidden="1" customHeight="1" x14ac:dyDescent="0.2">
      <c r="A373" s="314" t="s">
        <v>413</v>
      </c>
      <c r="B373" s="272" t="str">
        <f>IF(ISERROR(Asset!C244+Asset!C300),"",IF(Asset!C244+Asset!C300=0,"",Asset!C244+Asset!C300))</f>
        <v/>
      </c>
      <c r="C373" s="272" t="str">
        <f>IF(ISERROR(Asset!D244+Asset!D300),"",IF(Asset!D244+Asset!D300=0,"",Asset!D244+Asset!D300))</f>
        <v/>
      </c>
      <c r="D373" s="272" t="str">
        <f>IF(ISERROR(Asset!E244+Asset!E300),"",IF(Asset!E244+Asset!E300=0,"",Asset!E244+Asset!E300))</f>
        <v/>
      </c>
      <c r="E373" s="272" t="str">
        <f>IF(ISERROR(Asset!F244+Asset!F300),"",IF(Asset!F244+Asset!F300=0,"",Asset!F244+Asset!F300))</f>
        <v/>
      </c>
      <c r="F373" s="272" t="str">
        <f>IF(ISERROR(Asset!G244+Asset!G300),"",IF(Asset!G244+Asset!G300=0,"",Asset!G244+Asset!G300))</f>
        <v/>
      </c>
      <c r="G373" s="272" t="str">
        <f>IF(ISERROR(Asset!H244+Asset!H300),"",IF(Asset!H244+Asset!H300=0,"",Asset!H244+Asset!H300))</f>
        <v/>
      </c>
      <c r="H373" s="272" t="str">
        <f>IF(ISERROR(Asset!I244+Asset!I300),"",IF(Asset!I244+Asset!I300=0,"",Asset!I244+Asset!I300))</f>
        <v/>
      </c>
      <c r="I373" s="272" t="str">
        <f>IF(ISERROR(Asset!J244+Asset!J300),"",IF(Asset!J244+Asset!J300=0,"",Asset!J244+Asset!J300))</f>
        <v/>
      </c>
      <c r="J373" s="272" t="str">
        <f>IF(ISERROR(Asset!K244+Asset!K300),"",IF(Asset!K244+Asset!K300=0,"",Asset!K244+Asset!K300))</f>
        <v/>
      </c>
      <c r="K373" s="272" t="str">
        <f>IF(ISERROR(Asset!L244+Asset!L300),"",IF(Asset!L244+Asset!L300=0,"",Asset!L244+Asset!L300))</f>
        <v/>
      </c>
      <c r="L373" s="272" t="str">
        <f>IF(ISERROR(Asset!M244+Asset!M300),"",IF(Asset!M244+Asset!M300=0,"",Asset!M244+Asset!M300))</f>
        <v/>
      </c>
      <c r="M373" s="272" t="str">
        <f>IF(ISERROR(Asset!N244+Asset!N300),"",IF(Asset!N244+Asset!N300=0,"",Asset!N244+Asset!N300))</f>
        <v/>
      </c>
      <c r="N373" s="272" t="str">
        <f>IF(ISERROR(Asset!O244+Asset!O300),"",IF(Asset!O244+Asset!O300=0,"",Asset!O244+Asset!O300))</f>
        <v/>
      </c>
      <c r="O373" s="272" t="str">
        <f>IF(ISERROR(Asset!P244+Asset!P300),"",IF(Asset!P244+Asset!P300=0,"",Asset!P244+Asset!P300))</f>
        <v/>
      </c>
      <c r="P373" s="272" t="str">
        <f>IF(ISERROR(Asset!Q244+Asset!Q300),"",IF(Asset!Q244+Asset!Q300=0,"",Asset!Q244+Asset!Q300))</f>
        <v/>
      </c>
      <c r="Q373" s="272" t="str">
        <f>IF(ISERROR(Asset!R244+Asset!R300),"",IF(Asset!R244+Asset!R300=0,"",Asset!R244+Asset!R300))</f>
        <v/>
      </c>
      <c r="R373" s="272" t="str">
        <f>IF(ISERROR(Asset!S244+Asset!S300),"",IF(Asset!S244+Asset!S300=0,"",Asset!S244+Asset!S300))</f>
        <v/>
      </c>
      <c r="S373" s="272" t="str">
        <f>IF(ISERROR(Asset!T244+Asset!T300),"",IF(Asset!T244+Asset!T300=0,"",Asset!T244+Asset!T300))</f>
        <v/>
      </c>
      <c r="T373" s="272" t="str">
        <f>IF(ISERROR(Asset!U244+Asset!U300),"",IF(Asset!U244+Asset!U300=0,"",Asset!U244+Asset!U300))</f>
        <v/>
      </c>
      <c r="U373" s="272" t="str">
        <f>IF(ISERROR(Asset!V244+Asset!V300),"",IF(Asset!V244+Asset!V300=0,"",Asset!V244+Asset!V300))</f>
        <v/>
      </c>
      <c r="V373" s="623"/>
    </row>
    <row r="374" spans="1:22" s="297" customFormat="1" ht="14.25" hidden="1" customHeight="1" x14ac:dyDescent="0.25">
      <c r="A374" s="316" t="s">
        <v>414</v>
      </c>
      <c r="B374" s="273" t="str">
        <f>IF(ISERROR(B373/'Oper.St.'!C238*365),"",IF(B373/'Oper.St.'!C238*365=0,"",B373/'Oper.St.'!C238*365))</f>
        <v/>
      </c>
      <c r="C374" s="273" t="str">
        <f>IF(ISERROR(C373/'Oper.St.'!D238*365),"",IF(C373/'Oper.St.'!D238*365=0,"",C373/'Oper.St.'!D238*365))</f>
        <v/>
      </c>
      <c r="D374" s="273" t="str">
        <f>IF(ISERROR(D373/'Oper.St.'!E238*365),"",IF(D373/'Oper.St.'!E238*365=0,"",D373/'Oper.St.'!E238*365))</f>
        <v/>
      </c>
      <c r="E374" s="273" t="str">
        <f>IF(ISERROR(E373/'Oper.St.'!F238*365),"",IF(E373/'Oper.St.'!F238*365=0,"",E373/'Oper.St.'!F238*365))</f>
        <v/>
      </c>
      <c r="F374" s="273" t="str">
        <f>IF(ISERROR(F373/'Oper.St.'!G238*365),"",IF(F373/'Oper.St.'!G238*365=0,"",F373/'Oper.St.'!G238*365))</f>
        <v/>
      </c>
      <c r="G374" s="273" t="str">
        <f>IF(ISERROR(G373/'Oper.St.'!H238*365),"",IF(G373/'Oper.St.'!H238*365=0,"",G373/'Oper.St.'!H238*365))</f>
        <v/>
      </c>
      <c r="H374" s="273" t="str">
        <f>IF(ISERROR(H373/'Oper.St.'!I238*365),"",IF(H373/'Oper.St.'!I238*365=0,"",H373/'Oper.St.'!I238*365))</f>
        <v/>
      </c>
      <c r="I374" s="273" t="str">
        <f>IF(ISERROR(I373/'Oper.St.'!J238*365),"",IF(I373/'Oper.St.'!J238*365=0,"",I373/'Oper.St.'!J238*365))</f>
        <v/>
      </c>
      <c r="J374" s="273" t="str">
        <f>IF(ISERROR(J373/'Oper.St.'!K238*365),"",IF(J373/'Oper.St.'!K238*365=0,"",J373/'Oper.St.'!K238*365))</f>
        <v/>
      </c>
      <c r="K374" s="273" t="str">
        <f>IF(ISERROR(K373/'Oper.St.'!L238*365),"",IF(K373/'Oper.St.'!L238*365=0,"",K373/'Oper.St.'!L238*365))</f>
        <v/>
      </c>
      <c r="L374" s="273" t="str">
        <f>IF(ISERROR(L373/'Oper.St.'!M238*365),"",IF(L373/'Oper.St.'!M238*365=0,"",L373/'Oper.St.'!M238*365))</f>
        <v/>
      </c>
      <c r="M374" s="273" t="str">
        <f>IF(ISERROR(M373/'Oper.St.'!N238*365),"",IF(M373/'Oper.St.'!N238*365=0,"",M373/'Oper.St.'!N238*365))</f>
        <v/>
      </c>
      <c r="N374" s="273" t="str">
        <f>IF(ISERROR(N373/'Oper.St.'!O238*365),"",IF(N373/'Oper.St.'!O238*365=0,"",N373/'Oper.St.'!O238*365))</f>
        <v/>
      </c>
      <c r="O374" s="273" t="str">
        <f>IF(ISERROR(O373/'Oper.St.'!P238*365),"",IF(O373/'Oper.St.'!P238*365=0,"",O373/'Oper.St.'!P238*365))</f>
        <v/>
      </c>
      <c r="P374" s="273" t="str">
        <f>IF(ISERROR(P373/'Oper.St.'!Q238*365),"",IF(P373/'Oper.St.'!Q238*365=0,"",P373/'Oper.St.'!Q238*365))</f>
        <v/>
      </c>
      <c r="Q374" s="273" t="str">
        <f>IF(ISERROR(Q373/'Oper.St.'!R238*365),"",IF(Q373/'Oper.St.'!R238*365=0,"",Q373/'Oper.St.'!R238*365))</f>
        <v/>
      </c>
      <c r="R374" s="273" t="str">
        <f>IF(ISERROR(R373/'Oper.St.'!S238*365),"",IF(R373/'Oper.St.'!S238*365=0,"",R373/'Oper.St.'!S238*365))</f>
        <v/>
      </c>
      <c r="S374" s="273" t="str">
        <f>IF(ISERROR(S373/'Oper.St.'!T238*365),"",IF(S373/'Oper.St.'!T238*365=0,"",S373/'Oper.St.'!T238*365))</f>
        <v/>
      </c>
      <c r="T374" s="273" t="str">
        <f>IF(ISERROR(T373/'Oper.St.'!U238*365),"",IF(T373/'Oper.St.'!U238*365=0,"",T373/'Oper.St.'!U238*365))</f>
        <v/>
      </c>
      <c r="U374" s="273" t="str">
        <f>IF(ISERROR(U373/'Oper.St.'!V238*365),"",IF(U373/'Oper.St.'!V238*365=0,"",U373/'Oper.St.'!V238*365))</f>
        <v/>
      </c>
      <c r="V374" s="613"/>
    </row>
    <row r="375" spans="1:22" s="315" customFormat="1" ht="14.25" hidden="1" customHeight="1" x14ac:dyDescent="0.2">
      <c r="A375" s="314" t="s">
        <v>416</v>
      </c>
      <c r="B375" s="272" t="str">
        <f>IF(ISERROR(Liab!C249),"",IF(Liab!C249=0,"",Liab!C249))</f>
        <v/>
      </c>
      <c r="C375" s="272" t="str">
        <f>IF(ISERROR(Liab!D249),"",IF(Liab!D249=0,"",Liab!D249))</f>
        <v/>
      </c>
      <c r="D375" s="272" t="str">
        <f>IF(ISERROR(Liab!E249),"",IF(Liab!E249=0,"",Liab!E249))</f>
        <v/>
      </c>
      <c r="E375" s="272" t="str">
        <f>IF(ISERROR(Liab!F249),"",IF(Liab!F249=0,"",Liab!F249))</f>
        <v/>
      </c>
      <c r="F375" s="272" t="str">
        <f>IF(ISERROR(Liab!G249),"",IF(Liab!G249=0,"",Liab!G249))</f>
        <v/>
      </c>
      <c r="G375" s="272" t="str">
        <f>IF(ISERROR(Liab!H249),"",IF(Liab!H249=0,"",Liab!H249))</f>
        <v/>
      </c>
      <c r="H375" s="272" t="str">
        <f>IF(ISERROR(Liab!I249),"",IF(Liab!I249=0,"",Liab!I249))</f>
        <v/>
      </c>
      <c r="I375" s="272" t="str">
        <f>IF(ISERROR(Liab!J249),"",IF(Liab!J249=0,"",Liab!J249))</f>
        <v/>
      </c>
      <c r="J375" s="272" t="str">
        <f>IF(ISERROR(Liab!K249),"",IF(Liab!K249=0,"",Liab!K249))</f>
        <v/>
      </c>
      <c r="K375" s="272" t="str">
        <f>IF(ISERROR(Liab!L249),"",IF(Liab!L249=0,"",Liab!L249))</f>
        <v/>
      </c>
      <c r="L375" s="272" t="str">
        <f>IF(ISERROR(Liab!M249),"",IF(Liab!M249=0,"",Liab!M249))</f>
        <v/>
      </c>
      <c r="M375" s="272" t="str">
        <f>IF(ISERROR(Liab!N249),"",IF(Liab!N249=0,"",Liab!N249))</f>
        <v/>
      </c>
      <c r="N375" s="272" t="str">
        <f>IF(ISERROR(Liab!O249),"",IF(Liab!O249=0,"",Liab!O249))</f>
        <v/>
      </c>
      <c r="O375" s="272" t="str">
        <f>IF(ISERROR(Liab!P249),"",IF(Liab!P249=0,"",Liab!P249))</f>
        <v/>
      </c>
      <c r="P375" s="272" t="str">
        <f>IF(ISERROR(Liab!Q249),"",IF(Liab!Q249=0,"",Liab!Q249))</f>
        <v/>
      </c>
      <c r="Q375" s="272" t="str">
        <f>IF(ISERROR(Liab!R249),"",IF(Liab!R249=0,"",Liab!R249))</f>
        <v/>
      </c>
      <c r="R375" s="272" t="str">
        <f>IF(ISERROR(Liab!S249),"",IF(Liab!S249=0,"",Liab!S249))</f>
        <v/>
      </c>
      <c r="S375" s="272" t="str">
        <f>IF(ISERROR(Liab!T249),"",IF(Liab!T249=0,"",Liab!T249))</f>
        <v/>
      </c>
      <c r="T375" s="272" t="str">
        <f>IF(ISERROR(Liab!U249),"",IF(Liab!U249=0,"",Liab!U249))</f>
        <v/>
      </c>
      <c r="U375" s="272" t="str">
        <f>IF(ISERROR(Liab!V249),"",IF(Liab!V249=0,"",Liab!V249))</f>
        <v/>
      </c>
      <c r="V375" s="623"/>
    </row>
    <row r="376" spans="1:22" s="297" customFormat="1" ht="14.25" hidden="1" customHeight="1" x14ac:dyDescent="0.25">
      <c r="A376" s="316" t="s">
        <v>417</v>
      </c>
      <c r="B376" s="273" t="str">
        <f>IF(ISERROR(B375/('Oper.St.'!C259+'Oper.St.'!C263)*365),"",IF(B375/('Oper.St.'!C259+'Oper.St.'!C263)*365=0,"",B375/('Oper.St.'!C259+'Oper.St.'!C263)*365))</f>
        <v/>
      </c>
      <c r="C376" s="273" t="str">
        <f>IF(ISERROR(C375/('Oper.St.'!D259+'Oper.St.'!D263)*365),"",IF(C375/('Oper.St.'!D259+'Oper.St.'!D263)*365=0,"",C375/('Oper.St.'!D259+'Oper.St.'!D263)*365))</f>
        <v/>
      </c>
      <c r="D376" s="273" t="str">
        <f>IF(ISERROR(D375/('Oper.St.'!E259+'Oper.St.'!E263)*365),"",IF(D375/('Oper.St.'!E259+'Oper.St.'!E263)*365=0,"",D375/('Oper.St.'!E259+'Oper.St.'!E263)*365))</f>
        <v/>
      </c>
      <c r="E376" s="273" t="str">
        <f>IF(ISERROR(E375/('Oper.St.'!F259+'Oper.St.'!F263)*365),"",IF(E375/('Oper.St.'!F259+'Oper.St.'!F263)*365=0,"",E375/('Oper.St.'!F259+'Oper.St.'!F263)*365))</f>
        <v/>
      </c>
      <c r="F376" s="273" t="str">
        <f>IF(ISERROR(F375/('Oper.St.'!G259+'Oper.St.'!G263)*365),"",IF(F375/('Oper.St.'!G259+'Oper.St.'!G263)*365=0,"",F375/('Oper.St.'!G259+'Oper.St.'!G263)*365))</f>
        <v/>
      </c>
      <c r="G376" s="273" t="str">
        <f>IF(ISERROR(G375/('Oper.St.'!H259+'Oper.St.'!H263)*365),"",IF(G375/('Oper.St.'!H259+'Oper.St.'!H263)*365=0,"",G375/('Oper.St.'!H259+'Oper.St.'!H263)*365))</f>
        <v/>
      </c>
      <c r="H376" s="273" t="str">
        <f>IF(ISERROR(H375/('Oper.St.'!I259+'Oper.St.'!I263)*365),"",IF(H375/('Oper.St.'!I259+'Oper.St.'!I263)*365=0,"",H375/('Oper.St.'!I259+'Oper.St.'!I263)*365))</f>
        <v/>
      </c>
      <c r="I376" s="273" t="str">
        <f>IF(ISERROR(I375/('Oper.St.'!J259+'Oper.St.'!J263)*365),"",IF(I375/('Oper.St.'!J259+'Oper.St.'!J263)*365=0,"",I375/('Oper.St.'!J259+'Oper.St.'!J263)*365))</f>
        <v/>
      </c>
      <c r="J376" s="273" t="str">
        <f>IF(ISERROR(J375/('Oper.St.'!K259+'Oper.St.'!K263)*365),"",IF(J375/('Oper.St.'!K259+'Oper.St.'!K263)*365=0,"",J375/('Oper.St.'!K259+'Oper.St.'!K263)*365))</f>
        <v/>
      </c>
      <c r="K376" s="273" t="str">
        <f>IF(ISERROR(K375/('Oper.St.'!L259+'Oper.St.'!L263)*365),"",IF(K375/('Oper.St.'!L259+'Oper.St.'!L263)*365=0,"",K375/('Oper.St.'!L259+'Oper.St.'!L263)*365))</f>
        <v/>
      </c>
      <c r="L376" s="273" t="str">
        <f>IF(ISERROR(L375/('Oper.St.'!M259+'Oper.St.'!M263)*365),"",IF(L375/('Oper.St.'!M259+'Oper.St.'!M263)*365=0,"",L375/('Oper.St.'!M259+'Oper.St.'!M263)*365))</f>
        <v/>
      </c>
      <c r="M376" s="273" t="str">
        <f>IF(ISERROR(M375/('Oper.St.'!N259+'Oper.St.'!N263)*365),"",IF(M375/('Oper.St.'!N259+'Oper.St.'!N263)*365=0,"",M375/('Oper.St.'!N259+'Oper.St.'!N263)*365))</f>
        <v/>
      </c>
      <c r="N376" s="273" t="str">
        <f>IF(ISERROR(N375/('Oper.St.'!O259+'Oper.St.'!O263)*365),"",IF(N375/('Oper.St.'!O259+'Oper.St.'!O263)*365=0,"",N375/('Oper.St.'!O259+'Oper.St.'!O263)*365))</f>
        <v/>
      </c>
      <c r="O376" s="273" t="str">
        <f>IF(ISERROR(O375/('Oper.St.'!P259+'Oper.St.'!P263)*365),"",IF(O375/('Oper.St.'!P259+'Oper.St.'!P263)*365=0,"",O375/('Oper.St.'!P259+'Oper.St.'!P263)*365))</f>
        <v/>
      </c>
      <c r="P376" s="273" t="str">
        <f>IF(ISERROR(P375/('Oper.St.'!Q259+'Oper.St.'!Q263)*365),"",IF(P375/('Oper.St.'!Q259+'Oper.St.'!Q263)*365=0,"",P375/('Oper.St.'!Q259+'Oper.St.'!Q263)*365))</f>
        <v/>
      </c>
      <c r="Q376" s="273" t="str">
        <f>IF(ISERROR(Q375/('Oper.St.'!R259+'Oper.St.'!R263)*365),"",IF(Q375/('Oper.St.'!R259+'Oper.St.'!R263)*365=0,"",Q375/('Oper.St.'!R259+'Oper.St.'!R263)*365))</f>
        <v/>
      </c>
      <c r="R376" s="273" t="str">
        <f>IF(ISERROR(R375/('Oper.St.'!S259+'Oper.St.'!S263)*365),"",IF(R375/('Oper.St.'!S259+'Oper.St.'!S263)*365=0,"",R375/('Oper.St.'!S259+'Oper.St.'!S263)*365))</f>
        <v/>
      </c>
      <c r="S376" s="273" t="str">
        <f>IF(ISERROR(S375/('Oper.St.'!T259+'Oper.St.'!T263)*365),"",IF(S375/('Oper.St.'!T259+'Oper.St.'!T263)*365=0,"",S375/('Oper.St.'!T259+'Oper.St.'!T263)*365))</f>
        <v/>
      </c>
      <c r="T376" s="273" t="str">
        <f>IF(ISERROR(T375/('Oper.St.'!U259+'Oper.St.'!U263)*365),"",IF(T375/('Oper.St.'!U259+'Oper.St.'!U263)*365=0,"",T375/('Oper.St.'!U259+'Oper.St.'!U263)*365))</f>
        <v/>
      </c>
      <c r="U376" s="273" t="str">
        <f>IF(ISERROR(U375/('Oper.St.'!V259+'Oper.St.'!V263)*365),"",IF(U375/('Oper.St.'!V259+'Oper.St.'!V263)*365=0,"",U375/('Oper.St.'!V259+'Oper.St.'!V263)*365))</f>
        <v/>
      </c>
      <c r="V376" s="613"/>
    </row>
    <row r="377" spans="1:22" s="315" customFormat="1" ht="14.25" hidden="1" customHeight="1" x14ac:dyDescent="0.2">
      <c r="A377" s="314" t="s">
        <v>406</v>
      </c>
      <c r="B377" s="272" t="str">
        <f>IF(ISERROR(Asset!C237+Asset!C242+Asset!C264+Asset!C267+Asset!C270+SUM(Asset!C272:C274)),"",IF(Asset!C237+Asset!C242+Asset!C264+Asset!C267+Asset!C270+SUM(Asset!C272:C274)=0,"",Asset!C237+Asset!C242+Asset!C264+Asset!C267+Asset!C270+SUM(Asset!C272:C274)))</f>
        <v/>
      </c>
      <c r="C377" s="272" t="str">
        <f>IF(ISERROR(Asset!D237+Asset!D242+Asset!D264+Asset!D267+Asset!D270+SUM(Asset!D272:D274)),"",IF(Asset!D237+Asset!D242+Asset!D264+Asset!D267+Asset!D270+SUM(Asset!D272:D274)=0,"",Asset!D237+Asset!D242+Asset!D264+Asset!D267+Asset!D270+SUM(Asset!D272:D274)))</f>
        <v/>
      </c>
      <c r="D377" s="272" t="str">
        <f>IF(ISERROR(Asset!E237+Asset!E242+Asset!E264+Asset!E267+Asset!E270+SUM(Asset!E272:E274)),"",IF(Asset!E237+Asset!E242+Asset!E264+Asset!E267+Asset!E270+SUM(Asset!E272:E274)=0,"",Asset!E237+Asset!E242+Asset!E264+Asset!E267+Asset!E270+SUM(Asset!E272:E274)))</f>
        <v/>
      </c>
      <c r="E377" s="272" t="str">
        <f>IF(ISERROR(Asset!F237+Asset!F242+Asset!F264+Asset!F267+Asset!F270+SUM(Asset!F272:F274)),"",IF(Asset!F237+Asset!F242+Asset!F264+Asset!F267+Asset!F270+SUM(Asset!F272:F274)=0,"",Asset!F237+Asset!F242+Asset!F264+Asset!F267+Asset!F270+SUM(Asset!F272:F274)))</f>
        <v/>
      </c>
      <c r="F377" s="272" t="str">
        <f>IF(ISERROR(Asset!G237+Asset!G242+Asset!G264+Asset!G267+Asset!G270+SUM(Asset!G272:G274)),"",IF(Asset!G237+Asset!G242+Asset!G264+Asset!G267+Asset!G270+SUM(Asset!G272:G274)=0,"",Asset!G237+Asset!G242+Asset!G264+Asset!G267+Asset!G270+SUM(Asset!G272:G274)))</f>
        <v/>
      </c>
      <c r="G377" s="272" t="str">
        <f>IF(ISERROR(Asset!H237+Asset!H242+Asset!H264+Asset!H267+Asset!H270+SUM(Asset!H272:H274)),"",IF(Asset!H237+Asset!H242+Asset!H264+Asset!H267+Asset!H270+SUM(Asset!H272:H274)=0,"",Asset!H237+Asset!H242+Asset!H264+Asset!H267+Asset!H270+SUM(Asset!H272:H274)))</f>
        <v/>
      </c>
      <c r="H377" s="272" t="str">
        <f>IF(ISERROR(Asset!I237+Asset!I242+Asset!I264+Asset!I267+Asset!I270+SUM(Asset!I272:I274)),"",IF(Asset!I237+Asset!I242+Asset!I264+Asset!I267+Asset!I270+SUM(Asset!I272:I274)=0,"",Asset!I237+Asset!I242+Asset!I264+Asset!I267+Asset!I270+SUM(Asset!I272:I274)))</f>
        <v/>
      </c>
      <c r="I377" s="272" t="str">
        <f>IF(ISERROR(Asset!J237+Asset!J242+Asset!J264+Asset!J267+Asset!J270+SUM(Asset!J272:J274)),"",IF(Asset!J237+Asset!J242+Asset!J264+Asset!J267+Asset!J270+SUM(Asset!J272:J274)=0,"",Asset!J237+Asset!J242+Asset!J264+Asset!J267+Asset!J270+SUM(Asset!J272:J274)))</f>
        <v/>
      </c>
      <c r="J377" s="272" t="str">
        <f>IF(ISERROR(Asset!K237+Asset!K242+Asset!K264+Asset!K267+Asset!K270+SUM(Asset!K272:K274)),"",IF(Asset!K237+Asset!K242+Asset!K264+Asset!K267+Asset!K270+SUM(Asset!K272:K274)=0,"",Asset!K237+Asset!K242+Asset!K264+Asset!K267+Asset!K270+SUM(Asset!K272:K274)))</f>
        <v/>
      </c>
      <c r="K377" s="272" t="str">
        <f>IF(ISERROR(Asset!L237+Asset!L242+Asset!L264+Asset!L267+Asset!L270+SUM(Asset!L272:L274)),"",IF(Asset!L237+Asset!L242+Asset!L264+Asset!L267+Asset!L270+SUM(Asset!L272:L274)=0,"",Asset!L237+Asset!L242+Asset!L264+Asset!L267+Asset!L270+SUM(Asset!L272:L274)))</f>
        <v/>
      </c>
      <c r="L377" s="272" t="str">
        <f>IF(ISERROR(Asset!M237+Asset!M242+Asset!M264+Asset!M267+Asset!M270+SUM(Asset!M272:M274)),"",IF(Asset!M237+Asset!M242+Asset!M264+Asset!M267+Asset!M270+SUM(Asset!M272:M274)=0,"",Asset!M237+Asset!M242+Asset!M264+Asset!M267+Asset!M270+SUM(Asset!M272:M274)))</f>
        <v/>
      </c>
      <c r="M377" s="272" t="str">
        <f>IF(ISERROR(Asset!N237+Asset!N242+Asset!N264+Asset!N267+Asset!N270+SUM(Asset!N272:N274)),"",IF(Asset!N237+Asset!N242+Asset!N264+Asset!N267+Asset!N270+SUM(Asset!N272:N274)=0,"",Asset!N237+Asset!N242+Asset!N264+Asset!N267+Asset!N270+SUM(Asset!N272:N274)))</f>
        <v/>
      </c>
      <c r="N377" s="272" t="str">
        <f>IF(ISERROR(Asset!O237+Asset!O242+Asset!O264+Asset!O267+Asset!O270+SUM(Asset!O272:O274)),"",IF(Asset!O237+Asset!O242+Asset!O264+Asset!O267+Asset!O270+SUM(Asset!O272:O274)=0,"",Asset!O237+Asset!O242+Asset!O264+Asset!O267+Asset!O270+SUM(Asset!O272:O274)))</f>
        <v/>
      </c>
      <c r="O377" s="272" t="str">
        <f>IF(ISERROR(Asset!P237+Asset!P242+Asset!P264+Asset!P267+Asset!P270+SUM(Asset!P272:P274)),"",IF(Asset!P237+Asset!P242+Asset!P264+Asset!P267+Asset!P270+SUM(Asset!P272:P274)=0,"",Asset!P237+Asset!P242+Asset!P264+Asset!P267+Asset!P270+SUM(Asset!P272:P274)))</f>
        <v/>
      </c>
      <c r="P377" s="272" t="str">
        <f>IF(ISERROR(Asset!Q237+Asset!Q242+Asset!Q264+Asset!Q267+Asset!Q270+SUM(Asset!Q272:Q274)),"",IF(Asset!Q237+Asset!Q242+Asset!Q264+Asset!Q267+Asset!Q270+SUM(Asset!Q272:Q274)=0,"",Asset!Q237+Asset!Q242+Asset!Q264+Asset!Q267+Asset!Q270+SUM(Asset!Q272:Q274)))</f>
        <v/>
      </c>
      <c r="Q377" s="272" t="str">
        <f>IF(ISERROR(Asset!R237+Asset!R242+Asset!R264+Asset!R267+Asset!R270+SUM(Asset!R272:R274)),"",IF(Asset!R237+Asset!R242+Asset!R264+Asset!R267+Asset!R270+SUM(Asset!R272:R274)=0,"",Asset!R237+Asset!R242+Asset!R264+Asset!R267+Asset!R270+SUM(Asset!R272:R274)))</f>
        <v/>
      </c>
      <c r="R377" s="272" t="str">
        <f>IF(ISERROR(Asset!S237+Asset!S242+Asset!S264+Asset!S267+Asset!S270+SUM(Asset!S272:S274)),"",IF(Asset!S237+Asset!S242+Asset!S264+Asset!S267+Asset!S270+SUM(Asset!S272:S274)=0,"",Asset!S237+Asset!S242+Asset!S264+Asset!S267+Asset!S270+SUM(Asset!S272:S274)))</f>
        <v/>
      </c>
      <c r="S377" s="272" t="str">
        <f>IF(ISERROR(Asset!T237+Asset!T242+Asset!T264+Asset!T267+Asset!T270+SUM(Asset!T272:T274)),"",IF(Asset!T237+Asset!T242+Asset!T264+Asset!T267+Asset!T270+SUM(Asset!T272:T274)=0,"",Asset!T237+Asset!T242+Asset!T264+Asset!T267+Asset!T270+SUM(Asset!T272:T274)))</f>
        <v/>
      </c>
      <c r="T377" s="272" t="str">
        <f>IF(ISERROR(Asset!U237+Asset!U242+Asset!U264+Asset!U267+Asset!U270+SUM(Asset!U272:U274)),"",IF(Asset!U237+Asset!U242+Asset!U264+Asset!U267+Asset!U270+SUM(Asset!U272:U274)=0,"",Asset!U237+Asset!U242+Asset!U264+Asset!U267+Asset!U270+SUM(Asset!U272:U274)))</f>
        <v/>
      </c>
      <c r="U377" s="272" t="str">
        <f>IF(ISERROR(Asset!V237+Asset!V242+Asset!V264+Asset!V267+Asset!V270+SUM(Asset!V272:V274)),"",IF(Asset!V237+Asset!V242+Asset!V264+Asset!V267+Asset!V270+SUM(Asset!V272:V274)=0,"",Asset!V237+Asset!V242+Asset!V264+Asset!V267+Asset!V270+SUM(Asset!V272:V274)))</f>
        <v/>
      </c>
      <c r="V377" s="623"/>
    </row>
    <row r="378" spans="1:22" ht="14.25" hidden="1" customHeight="1" x14ac:dyDescent="0.2">
      <c r="A378" s="257"/>
      <c r="B378" s="255"/>
      <c r="C378" s="255"/>
      <c r="D378" s="255"/>
      <c r="E378" s="255"/>
      <c r="F378" s="255"/>
      <c r="G378" s="255"/>
      <c r="H378" s="255"/>
      <c r="I378" s="255"/>
      <c r="J378" s="255"/>
      <c r="K378" s="255"/>
      <c r="L378" s="255"/>
      <c r="M378" s="255"/>
      <c r="N378" s="255"/>
      <c r="O378" s="255"/>
      <c r="P378" s="255"/>
      <c r="Q378" s="255"/>
      <c r="R378" s="255"/>
      <c r="S378" s="255"/>
      <c r="T378" s="255"/>
      <c r="U378" s="255"/>
      <c r="V378" s="612"/>
    </row>
    <row r="379" spans="1:22" ht="17.25" hidden="1" customHeight="1" x14ac:dyDescent="0.25">
      <c r="A379" s="259" t="s">
        <v>466</v>
      </c>
      <c r="B379" s="255"/>
      <c r="C379" s="255"/>
      <c r="D379" s="255"/>
      <c r="E379" s="255"/>
      <c r="F379" s="255"/>
      <c r="G379" s="255"/>
      <c r="H379" s="255"/>
      <c r="I379" s="255"/>
      <c r="J379" s="255"/>
      <c r="K379" s="255"/>
      <c r="L379" s="255"/>
      <c r="M379" s="255"/>
      <c r="N379" s="255"/>
      <c r="O379" s="255"/>
      <c r="P379" s="255"/>
      <c r="Q379" s="255"/>
      <c r="R379" s="255"/>
      <c r="S379" s="255"/>
      <c r="T379" s="255"/>
      <c r="U379" s="255"/>
      <c r="V379" s="612"/>
    </row>
    <row r="380" spans="1:22" s="297" customFormat="1" ht="12.75" hidden="1" customHeight="1" x14ac:dyDescent="0.25">
      <c r="A380" s="296"/>
      <c r="B380" s="261">
        <f>B225</f>
        <v>2020</v>
      </c>
      <c r="C380" s="261">
        <f>C225</f>
        <v>2021</v>
      </c>
      <c r="D380" s="261">
        <f t="shared" ref="D380:U380" si="135">D225</f>
        <v>2022</v>
      </c>
      <c r="E380" s="261">
        <f t="shared" si="135"/>
        <v>2023</v>
      </c>
      <c r="F380" s="261">
        <f t="shared" si="135"/>
        <v>2024</v>
      </c>
      <c r="G380" s="261">
        <f t="shared" si="135"/>
        <v>2025</v>
      </c>
      <c r="H380" s="261">
        <f t="shared" si="135"/>
        <v>2026</v>
      </c>
      <c r="I380" s="261">
        <f t="shared" si="135"/>
        <v>2027</v>
      </c>
      <c r="J380" s="261">
        <f t="shared" si="135"/>
        <v>2028</v>
      </c>
      <c r="K380" s="261">
        <f t="shared" si="135"/>
        <v>2029</v>
      </c>
      <c r="L380" s="261">
        <f t="shared" si="135"/>
        <v>2030</v>
      </c>
      <c r="M380" s="261">
        <f t="shared" si="135"/>
        <v>2031</v>
      </c>
      <c r="N380" s="261">
        <f t="shared" si="135"/>
        <v>2032</v>
      </c>
      <c r="O380" s="261">
        <f t="shared" si="135"/>
        <v>2033</v>
      </c>
      <c r="P380" s="261">
        <f t="shared" si="135"/>
        <v>2034</v>
      </c>
      <c r="Q380" s="261">
        <f t="shared" si="135"/>
        <v>2035</v>
      </c>
      <c r="R380" s="261">
        <f t="shared" si="135"/>
        <v>2036</v>
      </c>
      <c r="S380" s="261">
        <f t="shared" si="135"/>
        <v>2037</v>
      </c>
      <c r="T380" s="261">
        <f t="shared" si="135"/>
        <v>2038</v>
      </c>
      <c r="U380" s="261">
        <f t="shared" si="135"/>
        <v>2039</v>
      </c>
      <c r="V380" s="613"/>
    </row>
    <row r="381" spans="1:22" s="297" customFormat="1" ht="12.75" hidden="1" customHeight="1" x14ac:dyDescent="0.25">
      <c r="A381" s="296"/>
      <c r="B381" s="261" t="str">
        <f>B362</f>
        <v>AUD.</v>
      </c>
      <c r="C381" s="261" t="str">
        <f>C362</f>
        <v>AUD.</v>
      </c>
      <c r="D381" s="261" t="str">
        <f t="shared" ref="D381:U381" si="136">D362</f>
        <v>AUD.</v>
      </c>
      <c r="E381" s="261" t="str">
        <f t="shared" si="136"/>
        <v>EST.</v>
      </c>
      <c r="F381" s="261" t="str">
        <f t="shared" si="136"/>
        <v>PROJ.</v>
      </c>
      <c r="G381" s="261" t="str">
        <f t="shared" si="136"/>
        <v>PROJ.</v>
      </c>
      <c r="H381" s="261" t="str">
        <f t="shared" si="136"/>
        <v>PROJ.</v>
      </c>
      <c r="I381" s="261" t="str">
        <f t="shared" si="136"/>
        <v>PROJ.</v>
      </c>
      <c r="J381" s="261" t="str">
        <f t="shared" si="136"/>
        <v>PROJ.</v>
      </c>
      <c r="K381" s="261" t="str">
        <f t="shared" si="136"/>
        <v>PROJ.</v>
      </c>
      <c r="L381" s="261" t="str">
        <f t="shared" si="136"/>
        <v>PROJ.</v>
      </c>
      <c r="M381" s="261" t="str">
        <f t="shared" si="136"/>
        <v>PROJ.</v>
      </c>
      <c r="N381" s="261" t="str">
        <f t="shared" si="136"/>
        <v>PROJ.</v>
      </c>
      <c r="O381" s="261" t="str">
        <f t="shared" si="136"/>
        <v>PROJ.</v>
      </c>
      <c r="P381" s="261" t="str">
        <f t="shared" si="136"/>
        <v>PROJ.</v>
      </c>
      <c r="Q381" s="261" t="str">
        <f t="shared" si="136"/>
        <v>PROJ.</v>
      </c>
      <c r="R381" s="261" t="str">
        <f t="shared" si="136"/>
        <v>PROJ.</v>
      </c>
      <c r="S381" s="261" t="str">
        <f t="shared" si="136"/>
        <v>PROJ.</v>
      </c>
      <c r="T381" s="261" t="str">
        <f t="shared" si="136"/>
        <v>PROJ.</v>
      </c>
      <c r="U381" s="261" t="str">
        <f t="shared" si="136"/>
        <v>PROJ.</v>
      </c>
      <c r="V381" s="613"/>
    </row>
    <row r="382" spans="1:22" ht="14.25" hidden="1" customHeight="1" x14ac:dyDescent="0.2">
      <c r="A382" s="287" t="s">
        <v>418</v>
      </c>
      <c r="B382" s="256" t="str">
        <f>IF(ISERROR(Asset!C276),"",IF(Asset!C276=0,"",Asset!C276))</f>
        <v/>
      </c>
      <c r="C382" s="256" t="str">
        <f>IF(ISERROR(Asset!D276),"",IF(Asset!D276=0,"",Asset!D276))</f>
        <v/>
      </c>
      <c r="D382" s="256" t="str">
        <f>IF(ISERROR(Asset!E276),"",IF(Asset!E276=0,"",Asset!E276))</f>
        <v/>
      </c>
      <c r="E382" s="256" t="str">
        <f>IF(ISERROR(Asset!F276),"",IF(Asset!F276=0,"",Asset!F276))</f>
        <v/>
      </c>
      <c r="F382" s="256" t="str">
        <f>IF(ISERROR(Asset!G276),"",IF(Asset!G276=0,"",Asset!G276))</f>
        <v/>
      </c>
      <c r="G382" s="256" t="str">
        <f>IF(ISERROR(Asset!H276),"",IF(Asset!H276=0,"",Asset!H276))</f>
        <v/>
      </c>
      <c r="H382" s="256" t="str">
        <f>IF(ISERROR(Asset!I276),"",IF(Asset!I276=0,"",Asset!I276))</f>
        <v/>
      </c>
      <c r="I382" s="256" t="str">
        <f>IF(ISERROR(Asset!J276),"",IF(Asset!J276=0,"",Asset!J276))</f>
        <v/>
      </c>
      <c r="J382" s="256" t="str">
        <f>IF(ISERROR(Asset!K276),"",IF(Asset!K276=0,"",Asset!K276))</f>
        <v/>
      </c>
      <c r="K382" s="256" t="str">
        <f>IF(ISERROR(Asset!L276),"",IF(Asset!L276=0,"",Asset!L276))</f>
        <v/>
      </c>
      <c r="L382" s="256" t="str">
        <f>IF(ISERROR(Asset!M276),"",IF(Asset!M276=0,"",Asset!M276))</f>
        <v/>
      </c>
      <c r="M382" s="256" t="str">
        <f>IF(ISERROR(Asset!N276),"",IF(Asset!N276=0,"",Asset!N276))</f>
        <v/>
      </c>
      <c r="N382" s="256" t="str">
        <f>IF(ISERROR(Asset!O276),"",IF(Asset!O276=0,"",Asset!O276))</f>
        <v/>
      </c>
      <c r="O382" s="256" t="str">
        <f>IF(ISERROR(Asset!P276),"",IF(Asset!P276=0,"",Asset!P276))</f>
        <v/>
      </c>
      <c r="P382" s="256" t="str">
        <f>IF(ISERROR(Asset!Q276),"",IF(Asset!Q276=0,"",Asset!Q276))</f>
        <v/>
      </c>
      <c r="Q382" s="256" t="str">
        <f>IF(ISERROR(Asset!R276),"",IF(Asset!R276=0,"",Asset!R276))</f>
        <v/>
      </c>
      <c r="R382" s="256" t="str">
        <f>IF(ISERROR(Asset!S276),"",IF(Asset!S276=0,"",Asset!S276))</f>
        <v/>
      </c>
      <c r="S382" s="256" t="str">
        <f>IF(ISERROR(Asset!T276),"",IF(Asset!T276=0,"",Asset!T276))</f>
        <v/>
      </c>
      <c r="T382" s="256" t="str">
        <f>IF(ISERROR(Asset!U276),"",IF(Asset!U276=0,"",Asset!U276))</f>
        <v/>
      </c>
      <c r="U382" s="256" t="str">
        <f>IF(ISERROR(Asset!V276),"",IF(Asset!V276=0,"",Asset!V276))</f>
        <v/>
      </c>
      <c r="V382" s="612"/>
    </row>
    <row r="383" spans="1:22" ht="14.25" hidden="1" customHeight="1" x14ac:dyDescent="0.2">
      <c r="A383" s="287" t="s">
        <v>419</v>
      </c>
      <c r="B383" s="256" t="str">
        <f>IF(ISERROR(Liab!C270),"",IF(Liab!C270=0,"",Liab!C270))</f>
        <v/>
      </c>
      <c r="C383" s="256" t="str">
        <f>IF(ISERROR(Liab!D270),"",IF(Liab!D270=0,"",Liab!D270))</f>
        <v/>
      </c>
      <c r="D383" s="256" t="str">
        <f>IF(ISERROR(Liab!E270),"",IF(Liab!E270=0,"",Liab!E270))</f>
        <v/>
      </c>
      <c r="E383" s="256" t="str">
        <f>IF(ISERROR(Liab!F270),"",IF(Liab!F270=0,"",Liab!F270))</f>
        <v/>
      </c>
      <c r="F383" s="256" t="str">
        <f>IF(ISERROR(Liab!G270),"",IF(Liab!G270=0,"",Liab!G270))</f>
        <v/>
      </c>
      <c r="G383" s="256" t="str">
        <f>IF(ISERROR(Liab!H270),"",IF(Liab!H270=0,"",Liab!H270))</f>
        <v/>
      </c>
      <c r="H383" s="256" t="str">
        <f>IF(ISERROR(Liab!I270),"",IF(Liab!I270=0,"",Liab!I270))</f>
        <v/>
      </c>
      <c r="I383" s="256" t="str">
        <f>IF(ISERROR(Liab!J270),"",IF(Liab!J270=0,"",Liab!J270))</f>
        <v/>
      </c>
      <c r="J383" s="256" t="str">
        <f>IF(ISERROR(Liab!K270),"",IF(Liab!K270=0,"",Liab!K270))</f>
        <v/>
      </c>
      <c r="K383" s="256" t="str">
        <f>IF(ISERROR(Liab!L270),"",IF(Liab!L270=0,"",Liab!L270))</f>
        <v/>
      </c>
      <c r="L383" s="256" t="str">
        <f>IF(ISERROR(Liab!M270),"",IF(Liab!M270=0,"",Liab!M270))</f>
        <v/>
      </c>
      <c r="M383" s="256" t="str">
        <f>IF(ISERROR(Liab!N270),"",IF(Liab!N270=0,"",Liab!N270))</f>
        <v/>
      </c>
      <c r="N383" s="256" t="str">
        <f>IF(ISERROR(Liab!O270),"",IF(Liab!O270=0,"",Liab!O270))</f>
        <v/>
      </c>
      <c r="O383" s="256" t="str">
        <f>IF(ISERROR(Liab!P270),"",IF(Liab!P270=0,"",Liab!P270))</f>
        <v/>
      </c>
      <c r="P383" s="256" t="str">
        <f>IF(ISERROR(Liab!Q270),"",IF(Liab!Q270=0,"",Liab!Q270))</f>
        <v/>
      </c>
      <c r="Q383" s="256" t="str">
        <f>IF(ISERROR(Liab!R270),"",IF(Liab!R270=0,"",Liab!R270))</f>
        <v/>
      </c>
      <c r="R383" s="256" t="str">
        <f>IF(ISERROR(Liab!S270),"",IF(Liab!S270=0,"",Liab!S270))</f>
        <v/>
      </c>
      <c r="S383" s="256" t="str">
        <f>IF(ISERROR(Liab!T270),"",IF(Liab!T270=0,"",Liab!T270))</f>
        <v/>
      </c>
      <c r="T383" s="256" t="str">
        <f>IF(ISERROR(Liab!U270),"",IF(Liab!U270=0,"",Liab!U270))</f>
        <v/>
      </c>
      <c r="U383" s="256" t="str">
        <f>IF(ISERROR(Liab!V270),"",IF(Liab!V270=0,"",Liab!V270))</f>
        <v/>
      </c>
      <c r="V383" s="612"/>
    </row>
    <row r="384" spans="1:22" ht="14.25" hidden="1" customHeight="1" x14ac:dyDescent="0.2">
      <c r="A384" s="287" t="s">
        <v>420</v>
      </c>
      <c r="B384" s="256" t="str">
        <f>IF(ISERROR(B382-B383),"",IF(B382-B383=0,"",B382-B383))</f>
        <v/>
      </c>
      <c r="C384" s="256" t="str">
        <f>IF(ISERROR(C382-C383),"",IF(C382-C383=0,"",C382-C383))</f>
        <v/>
      </c>
      <c r="D384" s="256" t="str">
        <f t="shared" ref="D384:U384" si="137">IF(ISERROR(D382-D383),"",IF(D382-D383=0,"",D382-D383))</f>
        <v/>
      </c>
      <c r="E384" s="256" t="str">
        <f t="shared" si="137"/>
        <v/>
      </c>
      <c r="F384" s="256" t="str">
        <f t="shared" si="137"/>
        <v/>
      </c>
      <c r="G384" s="256" t="str">
        <f t="shared" si="137"/>
        <v/>
      </c>
      <c r="H384" s="256" t="str">
        <f t="shared" si="137"/>
        <v/>
      </c>
      <c r="I384" s="256" t="str">
        <f t="shared" si="137"/>
        <v/>
      </c>
      <c r="J384" s="256" t="str">
        <f t="shared" si="137"/>
        <v/>
      </c>
      <c r="K384" s="256" t="str">
        <f t="shared" si="137"/>
        <v/>
      </c>
      <c r="L384" s="256" t="str">
        <f t="shared" si="137"/>
        <v/>
      </c>
      <c r="M384" s="256" t="str">
        <f t="shared" si="137"/>
        <v/>
      </c>
      <c r="N384" s="256" t="str">
        <f t="shared" si="137"/>
        <v/>
      </c>
      <c r="O384" s="256" t="str">
        <f t="shared" si="137"/>
        <v/>
      </c>
      <c r="P384" s="256" t="str">
        <f t="shared" si="137"/>
        <v/>
      </c>
      <c r="Q384" s="256" t="str">
        <f t="shared" si="137"/>
        <v/>
      </c>
      <c r="R384" s="256" t="str">
        <f t="shared" si="137"/>
        <v/>
      </c>
      <c r="S384" s="256" t="str">
        <f t="shared" si="137"/>
        <v/>
      </c>
      <c r="T384" s="256" t="str">
        <f t="shared" si="137"/>
        <v/>
      </c>
      <c r="U384" s="256" t="str">
        <f t="shared" si="137"/>
        <v/>
      </c>
      <c r="V384" s="612"/>
    </row>
    <row r="385" spans="1:22" ht="14.25" hidden="1" customHeight="1" x14ac:dyDescent="0.2">
      <c r="A385" s="287" t="s">
        <v>22</v>
      </c>
      <c r="B385" s="256" t="str">
        <f>IF(ISERROR(B384-B386),"",IF(B384-B386=0,"",B384-B386))</f>
        <v/>
      </c>
      <c r="C385" s="256" t="str">
        <f>IF(ISERROR(C384-C386),"",IF(C384-C386=0,"",C384-C386))</f>
        <v/>
      </c>
      <c r="D385" s="256" t="str">
        <f t="shared" ref="D385:U385" si="138">IF(ISERROR(D384-D386),"",IF(D384-D386=0,"",D384-D386))</f>
        <v/>
      </c>
      <c r="E385" s="256" t="str">
        <f t="shared" si="138"/>
        <v/>
      </c>
      <c r="F385" s="256" t="str">
        <f t="shared" si="138"/>
        <v/>
      </c>
      <c r="G385" s="256" t="str">
        <f t="shared" si="138"/>
        <v/>
      </c>
      <c r="H385" s="256" t="str">
        <f t="shared" si="138"/>
        <v/>
      </c>
      <c r="I385" s="256" t="str">
        <f t="shared" si="138"/>
        <v/>
      </c>
      <c r="J385" s="256" t="str">
        <f t="shared" si="138"/>
        <v/>
      </c>
      <c r="K385" s="256" t="str">
        <f t="shared" si="138"/>
        <v/>
      </c>
      <c r="L385" s="256" t="str">
        <f t="shared" si="138"/>
        <v/>
      </c>
      <c r="M385" s="256" t="str">
        <f t="shared" si="138"/>
        <v/>
      </c>
      <c r="N385" s="256" t="str">
        <f t="shared" si="138"/>
        <v/>
      </c>
      <c r="O385" s="256" t="str">
        <f t="shared" si="138"/>
        <v/>
      </c>
      <c r="P385" s="256" t="str">
        <f t="shared" si="138"/>
        <v/>
      </c>
      <c r="Q385" s="256" t="str">
        <f t="shared" si="138"/>
        <v/>
      </c>
      <c r="R385" s="256" t="str">
        <f t="shared" si="138"/>
        <v/>
      </c>
      <c r="S385" s="256" t="str">
        <f t="shared" si="138"/>
        <v/>
      </c>
      <c r="T385" s="256" t="str">
        <f t="shared" si="138"/>
        <v/>
      </c>
      <c r="U385" s="256" t="str">
        <f t="shared" si="138"/>
        <v/>
      </c>
      <c r="V385" s="612"/>
    </row>
    <row r="386" spans="1:22" ht="14.25" hidden="1" customHeight="1" x14ac:dyDescent="0.2">
      <c r="A386" s="287" t="s">
        <v>421</v>
      </c>
      <c r="B386" s="256">
        <f>IF(ISERROR(Liab!C245),"",Liab!C245)</f>
        <v>0</v>
      </c>
      <c r="C386" s="256">
        <f>IF(ISERROR(Liab!D245),"",Liab!D245)</f>
        <v>0</v>
      </c>
      <c r="D386" s="256">
        <f>IF(ISERROR(Liab!E245),"",Liab!E245)</f>
        <v>0</v>
      </c>
      <c r="E386" s="256">
        <f>IF(ISERROR(Liab!F245),"",Liab!F245)</f>
        <v>0</v>
      </c>
      <c r="F386" s="256">
        <f>IF(ISERROR(Liab!G245),"",Liab!G245)</f>
        <v>0</v>
      </c>
      <c r="G386" s="256">
        <f>IF(ISERROR(Liab!H245),"",Liab!H245)</f>
        <v>0</v>
      </c>
      <c r="H386" s="256">
        <f>IF(ISERROR(Liab!I245),"",Liab!I245)</f>
        <v>0</v>
      </c>
      <c r="I386" s="256">
        <f>IF(ISERROR(Liab!J245),"",Liab!J245)</f>
        <v>0</v>
      </c>
      <c r="J386" s="256">
        <f>IF(ISERROR(Liab!K245),"",Liab!K245)</f>
        <v>0</v>
      </c>
      <c r="K386" s="256">
        <f>IF(ISERROR(Liab!L245),"",Liab!L245)</f>
        <v>0</v>
      </c>
      <c r="L386" s="256">
        <f>IF(ISERROR(Liab!M245),"",Liab!M245)</f>
        <v>0</v>
      </c>
      <c r="M386" s="256">
        <f>IF(ISERROR(Liab!N245),"",Liab!N245)</f>
        <v>0</v>
      </c>
      <c r="N386" s="256">
        <f>IF(ISERROR(Liab!O245),"",Liab!O245)</f>
        <v>0</v>
      </c>
      <c r="O386" s="256">
        <f>IF(ISERROR(Liab!P245),"",Liab!P245)</f>
        <v>0</v>
      </c>
      <c r="P386" s="256">
        <f>IF(ISERROR(Liab!Q245),"",Liab!Q245)</f>
        <v>0</v>
      </c>
      <c r="Q386" s="256">
        <f>IF(ISERROR(Liab!R245),"",Liab!R245)</f>
        <v>0</v>
      </c>
      <c r="R386" s="256">
        <f>IF(ISERROR(Liab!S245),"",Liab!S245)</f>
        <v>0</v>
      </c>
      <c r="S386" s="256">
        <f>IF(ISERROR(Liab!T245),"",Liab!T245)</f>
        <v>0</v>
      </c>
      <c r="T386" s="256">
        <f>IF(ISERROR(Liab!U245),"",Liab!U245)</f>
        <v>0</v>
      </c>
      <c r="U386" s="256">
        <f>IF(ISERROR(Liab!V245),"",Liab!V245)</f>
        <v>0</v>
      </c>
      <c r="V386" s="612"/>
    </row>
    <row r="387" spans="1:22" ht="14.25" hidden="1" customHeight="1" x14ac:dyDescent="0.2">
      <c r="A387" s="287" t="s">
        <v>422</v>
      </c>
      <c r="B387" s="271" t="str">
        <f>IF(ISERROR(B385/B382),"",IF(B385/B382=0,"",B385/B382))</f>
        <v/>
      </c>
      <c r="C387" s="271" t="str">
        <f>IF(ISERROR(C385/C382),"",IF(C385/C382=0,"",C385/C382))</f>
        <v/>
      </c>
      <c r="D387" s="271" t="str">
        <f t="shared" ref="D387:U387" si="139">IF(ISERROR(D385/D382),"",IF(D385/D382=0,"",D385/D382))</f>
        <v/>
      </c>
      <c r="E387" s="271" t="str">
        <f t="shared" si="139"/>
        <v/>
      </c>
      <c r="F387" s="271" t="str">
        <f t="shared" si="139"/>
        <v/>
      </c>
      <c r="G387" s="271" t="str">
        <f t="shared" si="139"/>
        <v/>
      </c>
      <c r="H387" s="271" t="str">
        <f t="shared" si="139"/>
        <v/>
      </c>
      <c r="I387" s="271" t="str">
        <f t="shared" si="139"/>
        <v/>
      </c>
      <c r="J387" s="271" t="str">
        <f t="shared" si="139"/>
        <v/>
      </c>
      <c r="K387" s="271" t="str">
        <f t="shared" si="139"/>
        <v/>
      </c>
      <c r="L387" s="271" t="str">
        <f t="shared" si="139"/>
        <v/>
      </c>
      <c r="M387" s="271" t="str">
        <f t="shared" si="139"/>
        <v/>
      </c>
      <c r="N387" s="271" t="str">
        <f t="shared" si="139"/>
        <v/>
      </c>
      <c r="O387" s="271" t="str">
        <f t="shared" si="139"/>
        <v/>
      </c>
      <c r="P387" s="271" t="str">
        <f t="shared" si="139"/>
        <v/>
      </c>
      <c r="Q387" s="271" t="str">
        <f t="shared" si="139"/>
        <v/>
      </c>
      <c r="R387" s="271" t="str">
        <f t="shared" si="139"/>
        <v/>
      </c>
      <c r="S387" s="271" t="str">
        <f t="shared" si="139"/>
        <v/>
      </c>
      <c r="T387" s="271" t="str">
        <f t="shared" si="139"/>
        <v/>
      </c>
      <c r="U387" s="271" t="str">
        <f t="shared" si="139"/>
        <v/>
      </c>
      <c r="V387" s="612"/>
    </row>
    <row r="388" spans="1:22" ht="14.25" hidden="1" customHeight="1" x14ac:dyDescent="0.2">
      <c r="A388" s="287" t="s">
        <v>423</v>
      </c>
      <c r="B388" s="271" t="str">
        <f>IF(ISERROR(B386/B382),"",IF(B386/B382=0,"",B386/B382))</f>
        <v/>
      </c>
      <c r="C388" s="271" t="str">
        <f>IF(ISERROR(C386/C382),"",IF(C386/C382=0,"",C386/C382))</f>
        <v/>
      </c>
      <c r="D388" s="271" t="str">
        <f t="shared" ref="D388:U388" si="140">IF(ISERROR(D386/D382),"",IF(D386/D382=0,"",D386/D382))</f>
        <v/>
      </c>
      <c r="E388" s="271" t="str">
        <f t="shared" si="140"/>
        <v/>
      </c>
      <c r="F388" s="271" t="str">
        <f t="shared" si="140"/>
        <v/>
      </c>
      <c r="G388" s="271" t="str">
        <f t="shared" si="140"/>
        <v/>
      </c>
      <c r="H388" s="271" t="str">
        <f t="shared" si="140"/>
        <v/>
      </c>
      <c r="I388" s="271" t="str">
        <f t="shared" si="140"/>
        <v/>
      </c>
      <c r="J388" s="271" t="str">
        <f t="shared" si="140"/>
        <v/>
      </c>
      <c r="K388" s="271" t="str">
        <f t="shared" si="140"/>
        <v/>
      </c>
      <c r="L388" s="271" t="str">
        <f t="shared" si="140"/>
        <v/>
      </c>
      <c r="M388" s="271" t="str">
        <f t="shared" si="140"/>
        <v/>
      </c>
      <c r="N388" s="271" t="str">
        <f t="shared" si="140"/>
        <v/>
      </c>
      <c r="O388" s="271" t="str">
        <f t="shared" si="140"/>
        <v/>
      </c>
      <c r="P388" s="271" t="str">
        <f t="shared" si="140"/>
        <v/>
      </c>
      <c r="Q388" s="271" t="str">
        <f t="shared" si="140"/>
        <v/>
      </c>
      <c r="R388" s="271" t="str">
        <f t="shared" si="140"/>
        <v/>
      </c>
      <c r="S388" s="271" t="str">
        <f t="shared" si="140"/>
        <v/>
      </c>
      <c r="T388" s="271" t="str">
        <f t="shared" si="140"/>
        <v/>
      </c>
      <c r="U388" s="271" t="str">
        <f t="shared" si="140"/>
        <v/>
      </c>
      <c r="V388" s="612"/>
    </row>
    <row r="389" spans="1:22" ht="14.25" hidden="1" customHeight="1" x14ac:dyDescent="0.2">
      <c r="A389" s="287" t="s">
        <v>426</v>
      </c>
      <c r="B389" s="271" t="str">
        <f>IF(ISERROR(B383/B382),"",IF(B383/B382=0,"",B383/B382))</f>
        <v/>
      </c>
      <c r="C389" s="271" t="str">
        <f>IF(ISERROR(C383/C382),"",IF(C383/C382=0,"",C383/C382))</f>
        <v/>
      </c>
      <c r="D389" s="271" t="str">
        <f t="shared" ref="D389:U389" si="141">IF(ISERROR(D383/D382),"",IF(D383/D382=0,"",D383/D382))</f>
        <v/>
      </c>
      <c r="E389" s="271" t="str">
        <f t="shared" si="141"/>
        <v/>
      </c>
      <c r="F389" s="271" t="str">
        <f t="shared" si="141"/>
        <v/>
      </c>
      <c r="G389" s="271" t="str">
        <f t="shared" si="141"/>
        <v/>
      </c>
      <c r="H389" s="271" t="str">
        <f t="shared" si="141"/>
        <v/>
      </c>
      <c r="I389" s="271" t="str">
        <f t="shared" si="141"/>
        <v/>
      </c>
      <c r="J389" s="271" t="str">
        <f t="shared" si="141"/>
        <v/>
      </c>
      <c r="K389" s="271" t="str">
        <f t="shared" si="141"/>
        <v/>
      </c>
      <c r="L389" s="271" t="str">
        <f t="shared" si="141"/>
        <v/>
      </c>
      <c r="M389" s="271" t="str">
        <f t="shared" si="141"/>
        <v/>
      </c>
      <c r="N389" s="271" t="str">
        <f t="shared" si="141"/>
        <v/>
      </c>
      <c r="O389" s="271" t="str">
        <f t="shared" si="141"/>
        <v/>
      </c>
      <c r="P389" s="271" t="str">
        <f t="shared" si="141"/>
        <v/>
      </c>
      <c r="Q389" s="271" t="str">
        <f t="shared" si="141"/>
        <v/>
      </c>
      <c r="R389" s="271" t="str">
        <f t="shared" si="141"/>
        <v/>
      </c>
      <c r="S389" s="271" t="str">
        <f t="shared" si="141"/>
        <v/>
      </c>
      <c r="T389" s="271" t="str">
        <f t="shared" si="141"/>
        <v/>
      </c>
      <c r="U389" s="271" t="str">
        <f t="shared" si="141"/>
        <v/>
      </c>
      <c r="V389" s="612"/>
    </row>
    <row r="390" spans="1:22" ht="14.25" hidden="1" customHeight="1" x14ac:dyDescent="0.2">
      <c r="A390" s="287" t="s">
        <v>424</v>
      </c>
      <c r="B390" s="271" t="str">
        <f>IF(ISERROR(B377/B382),"",IF(B377/B382=0,"",B377/B382))</f>
        <v/>
      </c>
      <c r="C390" s="271" t="str">
        <f>IF(ISERROR(C377/C382),"",IF(C377/C382=0,"",C377/C382))</f>
        <v/>
      </c>
      <c r="D390" s="271" t="str">
        <f t="shared" ref="D390:U390" si="142">IF(ISERROR(D377/D382),"",IF(D377/D382=0,"",D377/D382))</f>
        <v/>
      </c>
      <c r="E390" s="271" t="str">
        <f t="shared" si="142"/>
        <v/>
      </c>
      <c r="F390" s="271" t="str">
        <f t="shared" si="142"/>
        <v/>
      </c>
      <c r="G390" s="271" t="str">
        <f t="shared" si="142"/>
        <v/>
      </c>
      <c r="H390" s="271" t="str">
        <f t="shared" si="142"/>
        <v/>
      </c>
      <c r="I390" s="271" t="str">
        <f t="shared" si="142"/>
        <v/>
      </c>
      <c r="J390" s="271" t="str">
        <f t="shared" si="142"/>
        <v/>
      </c>
      <c r="K390" s="271" t="str">
        <f t="shared" si="142"/>
        <v/>
      </c>
      <c r="L390" s="271" t="str">
        <f t="shared" si="142"/>
        <v/>
      </c>
      <c r="M390" s="271" t="str">
        <f t="shared" si="142"/>
        <v/>
      </c>
      <c r="N390" s="271" t="str">
        <f t="shared" si="142"/>
        <v/>
      </c>
      <c r="O390" s="271" t="str">
        <f t="shared" si="142"/>
        <v/>
      </c>
      <c r="P390" s="271" t="str">
        <f t="shared" si="142"/>
        <v/>
      </c>
      <c r="Q390" s="271" t="str">
        <f t="shared" si="142"/>
        <v/>
      </c>
      <c r="R390" s="271" t="str">
        <f t="shared" si="142"/>
        <v/>
      </c>
      <c r="S390" s="271" t="str">
        <f t="shared" si="142"/>
        <v/>
      </c>
      <c r="T390" s="271" t="str">
        <f t="shared" si="142"/>
        <v/>
      </c>
      <c r="U390" s="271" t="str">
        <f t="shared" si="142"/>
        <v/>
      </c>
      <c r="V390" s="612"/>
    </row>
    <row r="391" spans="1:22" ht="14.25" hidden="1" customHeight="1" x14ac:dyDescent="0.2">
      <c r="A391" s="287" t="s">
        <v>425</v>
      </c>
      <c r="B391" s="274" t="str">
        <f>IF(ISERROR(B392/Liab!C249),"",IF(B392/Liab!C249=0,"",B392/Liab!C249))</f>
        <v/>
      </c>
      <c r="C391" s="274" t="str">
        <f>IF(ISERROR(C392/Liab!D249),"",IF(C392/Liab!D249=0,"",C392/Liab!D249))</f>
        <v/>
      </c>
      <c r="D391" s="274" t="str">
        <f>IF(ISERROR(D392/Liab!E249),"",IF(D392/Liab!E249=0,"",D392/Liab!E249))</f>
        <v/>
      </c>
      <c r="E391" s="274" t="str">
        <f>IF(ISERROR(E392/Liab!F249),"",IF(E392/Liab!F249=0,"",E392/Liab!F249))</f>
        <v/>
      </c>
      <c r="F391" s="274" t="str">
        <f>IF(ISERROR(F392/Liab!G249),"",IF(F392/Liab!G249=0,"",F392/Liab!G249))</f>
        <v/>
      </c>
      <c r="G391" s="274" t="str">
        <f>IF(ISERROR(G392/Liab!H249),"",IF(G392/Liab!H249=0,"",G392/Liab!H249))</f>
        <v/>
      </c>
      <c r="H391" s="274" t="str">
        <f>IF(ISERROR(H392/Liab!I249),"",IF(H392/Liab!I249=0,"",H392/Liab!I249))</f>
        <v/>
      </c>
      <c r="I391" s="274" t="str">
        <f>IF(ISERROR(I392/Liab!J249),"",IF(I392/Liab!J249=0,"",I392/Liab!J249))</f>
        <v/>
      </c>
      <c r="J391" s="274" t="str">
        <f>IF(ISERROR(J392/Liab!K249),"",IF(J392/Liab!K249=0,"",J392/Liab!K249))</f>
        <v/>
      </c>
      <c r="K391" s="274" t="str">
        <f>IF(ISERROR(K392/Liab!L249),"",IF(K392/Liab!L249=0,"",K392/Liab!L249))</f>
        <v/>
      </c>
      <c r="L391" s="274" t="str">
        <f>IF(ISERROR(L392/Liab!M249),"",IF(L392/Liab!M249=0,"",L392/Liab!M249))</f>
        <v/>
      </c>
      <c r="M391" s="274" t="str">
        <f>IF(ISERROR(M392/Liab!N249),"",IF(M392/Liab!N249=0,"",M392/Liab!N249))</f>
        <v/>
      </c>
      <c r="N391" s="274" t="str">
        <f>IF(ISERROR(N392/Liab!O249),"",IF(N392/Liab!O249=0,"",N392/Liab!O249))</f>
        <v/>
      </c>
      <c r="O391" s="274" t="str">
        <f>IF(ISERROR(O392/Liab!P249),"",IF(O392/Liab!P249=0,"",O392/Liab!P249))</f>
        <v/>
      </c>
      <c r="P391" s="274" t="str">
        <f>IF(ISERROR(P392/Liab!Q249),"",IF(P392/Liab!Q249=0,"",P392/Liab!Q249))</f>
        <v/>
      </c>
      <c r="Q391" s="274" t="str">
        <f>IF(ISERROR(Q392/Liab!R249),"",IF(Q392/Liab!R249=0,"",Q392/Liab!R249))</f>
        <v/>
      </c>
      <c r="R391" s="274" t="str">
        <f>IF(ISERROR(R392/Liab!S249),"",IF(R392/Liab!S249=0,"",R392/Liab!S249))</f>
        <v/>
      </c>
      <c r="S391" s="274" t="str">
        <f>IF(ISERROR(S392/Liab!T249),"",IF(S392/Liab!T249=0,"",S392/Liab!T249))</f>
        <v/>
      </c>
      <c r="T391" s="274" t="str">
        <f>IF(ISERROR(T392/Liab!U249),"",IF(T392/Liab!U249=0,"",T392/Liab!U249))</f>
        <v/>
      </c>
      <c r="U391" s="274" t="str">
        <f>IF(ISERROR(U392/Liab!V249),"",IF(U392/Liab!V249=0,"",U392/Liab!V249))</f>
        <v/>
      </c>
      <c r="V391" s="612"/>
    </row>
    <row r="392" spans="1:22" ht="14.25" hidden="1" customHeight="1" x14ac:dyDescent="0.2">
      <c r="A392" s="287" t="s">
        <v>556</v>
      </c>
      <c r="B392" s="317"/>
      <c r="C392" s="317"/>
      <c r="D392" s="317"/>
      <c r="E392" s="317"/>
      <c r="F392" s="317"/>
      <c r="G392" s="317"/>
      <c r="H392" s="317"/>
      <c r="I392" s="317"/>
      <c r="J392" s="317"/>
      <c r="K392" s="317"/>
      <c r="L392" s="317"/>
      <c r="M392" s="317"/>
      <c r="N392" s="317"/>
      <c r="O392" s="317"/>
      <c r="P392" s="317"/>
      <c r="Q392" s="317"/>
      <c r="R392" s="317"/>
      <c r="S392" s="317"/>
      <c r="T392" s="317"/>
      <c r="U392" s="317"/>
      <c r="V392" s="612"/>
    </row>
    <row r="393" spans="1:22" ht="16.5" hidden="1" customHeight="1" x14ac:dyDescent="0.2">
      <c r="A393" s="257"/>
      <c r="B393" s="255"/>
      <c r="C393" s="255"/>
      <c r="D393" s="255"/>
      <c r="E393" s="255"/>
      <c r="F393" s="255"/>
      <c r="G393" s="255"/>
      <c r="H393" s="255"/>
      <c r="I393" s="255"/>
      <c r="J393" s="255"/>
      <c r="K393" s="255"/>
      <c r="L393" s="255"/>
      <c r="M393" s="255"/>
      <c r="N393" s="255"/>
      <c r="O393" s="255"/>
      <c r="P393" s="255"/>
      <c r="Q393" s="255"/>
      <c r="R393" s="255"/>
      <c r="S393" s="255"/>
      <c r="T393" s="255"/>
      <c r="U393" s="255"/>
      <c r="V393" s="612"/>
    </row>
    <row r="394" spans="1:22" ht="15" hidden="1" customHeight="1" x14ac:dyDescent="0.25">
      <c r="A394" s="259" t="s">
        <v>889</v>
      </c>
      <c r="B394" s="255"/>
      <c r="C394" s="255"/>
      <c r="D394" s="255"/>
      <c r="E394" s="255"/>
      <c r="F394" s="255"/>
      <c r="G394" s="255"/>
      <c r="H394" s="255"/>
      <c r="I394" s="255"/>
      <c r="J394" s="255"/>
      <c r="K394" s="255"/>
      <c r="L394" s="255"/>
      <c r="M394" s="255"/>
      <c r="N394" s="255"/>
      <c r="O394" s="255"/>
      <c r="P394" s="255"/>
      <c r="Q394" s="255"/>
      <c r="R394" s="255"/>
      <c r="S394" s="255"/>
      <c r="T394" s="255"/>
      <c r="U394" s="255"/>
      <c r="V394" s="612"/>
    </row>
    <row r="395" spans="1:22" ht="14.25" hidden="1" customHeight="1" x14ac:dyDescent="0.2">
      <c r="A395" s="287" t="s">
        <v>884</v>
      </c>
      <c r="B395" s="256" t="str">
        <f>IF(ISERROR('Oper.St.'!C242),"",IF('Oper.St.'!C242=0,"",'Oper.St.'!C242))</f>
        <v/>
      </c>
      <c r="C395" s="256" t="str">
        <f>IF(ISERROR('Oper.St.'!D242),"",IF('Oper.St.'!D242=0,"",'Oper.St.'!D242))</f>
        <v/>
      </c>
      <c r="D395" s="256" t="str">
        <f>IF(ISERROR('Oper.St.'!E242),"",IF('Oper.St.'!E242=0,"",'Oper.St.'!E242))</f>
        <v/>
      </c>
      <c r="E395" s="256" t="str">
        <f>IF(ISERROR('Oper.St.'!F242),"",IF('Oper.St.'!F242=0,"",'Oper.St.'!F242))</f>
        <v/>
      </c>
      <c r="F395" s="256" t="str">
        <f>IF(ISERROR('Oper.St.'!G242),"",IF('Oper.St.'!G242=0,"",'Oper.St.'!G242))</f>
        <v/>
      </c>
      <c r="G395" s="256" t="str">
        <f>IF(ISERROR('Oper.St.'!H242),"",IF('Oper.St.'!H242=0,"",'Oper.St.'!H242))</f>
        <v/>
      </c>
      <c r="H395" s="256" t="str">
        <f>IF(ISERROR('Oper.St.'!I242),"",IF('Oper.St.'!I242=0,"",'Oper.St.'!I242))</f>
        <v/>
      </c>
      <c r="I395" s="256" t="str">
        <f>IF(ISERROR('Oper.St.'!J242),"",IF('Oper.St.'!J242=0,"",'Oper.St.'!J242))</f>
        <v/>
      </c>
      <c r="J395" s="256" t="str">
        <f>IF(ISERROR('Oper.St.'!K242),"",IF('Oper.St.'!K242=0,"",'Oper.St.'!K242))</f>
        <v/>
      </c>
      <c r="K395" s="256" t="str">
        <f>IF(ISERROR('Oper.St.'!L242),"",IF('Oper.St.'!L242=0,"",'Oper.St.'!L242))</f>
        <v/>
      </c>
      <c r="L395" s="256" t="str">
        <f>IF(ISERROR('Oper.St.'!M242),"",IF('Oper.St.'!M242=0,"",'Oper.St.'!M242))</f>
        <v/>
      </c>
      <c r="M395" s="256" t="str">
        <f>IF(ISERROR('Oper.St.'!N242),"",IF('Oper.St.'!N242=0,"",'Oper.St.'!N242))</f>
        <v/>
      </c>
      <c r="N395" s="256" t="str">
        <f>IF(ISERROR('Oper.St.'!O242),"",IF('Oper.St.'!O242=0,"",'Oper.St.'!O242))</f>
        <v/>
      </c>
      <c r="O395" s="256" t="str">
        <f>IF(ISERROR('Oper.St.'!P242),"",IF('Oper.St.'!P242=0,"",'Oper.St.'!P242))</f>
        <v/>
      </c>
      <c r="P395" s="256" t="str">
        <f>IF(ISERROR('Oper.St.'!Q242),"",IF('Oper.St.'!Q242=0,"",'Oper.St.'!Q242))</f>
        <v/>
      </c>
      <c r="Q395" s="256" t="str">
        <f>IF(ISERROR('Oper.St.'!R242),"",IF('Oper.St.'!R242=0,"",'Oper.St.'!R242))</f>
        <v/>
      </c>
      <c r="R395" s="256" t="str">
        <f>IF(ISERROR('Oper.St.'!S242),"",IF('Oper.St.'!S242=0,"",'Oper.St.'!S242))</f>
        <v/>
      </c>
      <c r="S395" s="256" t="str">
        <f>IF(ISERROR('Oper.St.'!T242),"",IF('Oper.St.'!T242=0,"",'Oper.St.'!T242))</f>
        <v/>
      </c>
      <c r="T395" s="256" t="str">
        <f>IF(ISERROR('Oper.St.'!U242),"",IF('Oper.St.'!U242=0,"",'Oper.St.'!U242))</f>
        <v/>
      </c>
      <c r="U395" s="256" t="str">
        <f>IF(ISERROR('Oper.St.'!V242),"",IF('Oper.St.'!V242=0,"",'Oper.St.'!V242))</f>
        <v/>
      </c>
      <c r="V395" s="612"/>
    </row>
    <row r="396" spans="1:22" ht="14.25" hidden="1" customHeight="1" x14ac:dyDescent="0.2">
      <c r="A396" s="287" t="s">
        <v>887</v>
      </c>
      <c r="B396" s="256" t="str">
        <f>IF(ISERROR(B395/4),"",IF(B395/4=0,"",B395/4))</f>
        <v/>
      </c>
      <c r="C396" s="256" t="str">
        <f>IF(ISERROR(C395/4),"",IF(C395/4=0,"",C395/4))</f>
        <v/>
      </c>
      <c r="D396" s="256" t="str">
        <f t="shared" ref="D396:U396" si="143">IF(ISERROR(D395/4),"",IF(D395/4=0,"",D395/4))</f>
        <v/>
      </c>
      <c r="E396" s="256" t="str">
        <f t="shared" si="143"/>
        <v/>
      </c>
      <c r="F396" s="256" t="str">
        <f t="shared" si="143"/>
        <v/>
      </c>
      <c r="G396" s="256" t="str">
        <f t="shared" si="143"/>
        <v/>
      </c>
      <c r="H396" s="256" t="str">
        <f t="shared" si="143"/>
        <v/>
      </c>
      <c r="I396" s="256" t="str">
        <f t="shared" si="143"/>
        <v/>
      </c>
      <c r="J396" s="256" t="str">
        <f t="shared" si="143"/>
        <v/>
      </c>
      <c r="K396" s="256" t="str">
        <f t="shared" si="143"/>
        <v/>
      </c>
      <c r="L396" s="256" t="str">
        <f t="shared" si="143"/>
        <v/>
      </c>
      <c r="M396" s="256" t="str">
        <f t="shared" si="143"/>
        <v/>
      </c>
      <c r="N396" s="256" t="str">
        <f t="shared" si="143"/>
        <v/>
      </c>
      <c r="O396" s="256" t="str">
        <f t="shared" si="143"/>
        <v/>
      </c>
      <c r="P396" s="256" t="str">
        <f t="shared" si="143"/>
        <v/>
      </c>
      <c r="Q396" s="256" t="str">
        <f t="shared" si="143"/>
        <v/>
      </c>
      <c r="R396" s="256" t="str">
        <f t="shared" si="143"/>
        <v/>
      </c>
      <c r="S396" s="256" t="str">
        <f t="shared" si="143"/>
        <v/>
      </c>
      <c r="T396" s="256" t="str">
        <f t="shared" si="143"/>
        <v/>
      </c>
      <c r="U396" s="256" t="str">
        <f t="shared" si="143"/>
        <v/>
      </c>
      <c r="V396" s="612"/>
    </row>
    <row r="397" spans="1:22" ht="14.25" hidden="1" customHeight="1" x14ac:dyDescent="0.2">
      <c r="A397" s="287" t="s">
        <v>888</v>
      </c>
      <c r="B397" s="256" t="str">
        <f>IF(ISERROR(B396/5),"",IF(B396/5=0,"",B396/5))</f>
        <v/>
      </c>
      <c r="C397" s="256" t="str">
        <f>IF(ISERROR(C396/5),"",IF(C396/5=0,"",C396/5))</f>
        <v/>
      </c>
      <c r="D397" s="256" t="str">
        <f t="shared" ref="D397:U397" si="144">IF(ISERROR(D396/5),"",IF(D396/5=0,"",D396/5))</f>
        <v/>
      </c>
      <c r="E397" s="256" t="str">
        <f t="shared" si="144"/>
        <v/>
      </c>
      <c r="F397" s="256" t="str">
        <f t="shared" si="144"/>
        <v/>
      </c>
      <c r="G397" s="256" t="str">
        <f t="shared" si="144"/>
        <v/>
      </c>
      <c r="H397" s="256" t="str">
        <f t="shared" si="144"/>
        <v/>
      </c>
      <c r="I397" s="256" t="str">
        <f t="shared" si="144"/>
        <v/>
      </c>
      <c r="J397" s="256" t="str">
        <f t="shared" si="144"/>
        <v/>
      </c>
      <c r="K397" s="256" t="str">
        <f t="shared" si="144"/>
        <v/>
      </c>
      <c r="L397" s="256" t="str">
        <f t="shared" si="144"/>
        <v/>
      </c>
      <c r="M397" s="256" t="str">
        <f t="shared" si="144"/>
        <v/>
      </c>
      <c r="N397" s="256" t="str">
        <f t="shared" si="144"/>
        <v/>
      </c>
      <c r="O397" s="256" t="str">
        <f t="shared" si="144"/>
        <v/>
      </c>
      <c r="P397" s="256" t="str">
        <f t="shared" si="144"/>
        <v/>
      </c>
      <c r="Q397" s="256" t="str">
        <f t="shared" si="144"/>
        <v/>
      </c>
      <c r="R397" s="256" t="str">
        <f t="shared" si="144"/>
        <v/>
      </c>
      <c r="S397" s="256" t="str">
        <f t="shared" si="144"/>
        <v/>
      </c>
      <c r="T397" s="256" t="str">
        <f t="shared" si="144"/>
        <v/>
      </c>
      <c r="U397" s="256" t="str">
        <f t="shared" si="144"/>
        <v/>
      </c>
      <c r="V397" s="612"/>
    </row>
    <row r="398" spans="1:22" ht="14.25" hidden="1" customHeight="1" x14ac:dyDescent="0.2">
      <c r="A398" s="287" t="s">
        <v>885</v>
      </c>
      <c r="B398" s="256" t="str">
        <f>IF(ISERROR(B396-B397),"",IF(B396-B397=0,"",B396-B397))</f>
        <v/>
      </c>
      <c r="C398" s="256" t="str">
        <f>IF(ISERROR(C396-C397),"",IF(C396-C397=0,"",C396-C397))</f>
        <v/>
      </c>
      <c r="D398" s="256" t="str">
        <f t="shared" ref="D398:U398" si="145">IF(ISERROR(D396-D397),"",IF(D396-D397=0,"",D396-D397))</f>
        <v/>
      </c>
      <c r="E398" s="256" t="str">
        <f t="shared" si="145"/>
        <v/>
      </c>
      <c r="F398" s="256" t="str">
        <f t="shared" si="145"/>
        <v/>
      </c>
      <c r="G398" s="256" t="str">
        <f t="shared" si="145"/>
        <v/>
      </c>
      <c r="H398" s="256" t="str">
        <f t="shared" si="145"/>
        <v/>
      </c>
      <c r="I398" s="256" t="str">
        <f t="shared" si="145"/>
        <v/>
      </c>
      <c r="J398" s="256" t="str">
        <f t="shared" si="145"/>
        <v/>
      </c>
      <c r="K398" s="256" t="str">
        <f t="shared" si="145"/>
        <v/>
      </c>
      <c r="L398" s="256" t="str">
        <f t="shared" si="145"/>
        <v/>
      </c>
      <c r="M398" s="256" t="str">
        <f t="shared" si="145"/>
        <v/>
      </c>
      <c r="N398" s="256" t="str">
        <f t="shared" si="145"/>
        <v/>
      </c>
      <c r="O398" s="256" t="str">
        <f t="shared" si="145"/>
        <v/>
      </c>
      <c r="P398" s="256" t="str">
        <f t="shared" si="145"/>
        <v/>
      </c>
      <c r="Q398" s="256" t="str">
        <f t="shared" si="145"/>
        <v/>
      </c>
      <c r="R398" s="256" t="str">
        <f t="shared" si="145"/>
        <v/>
      </c>
      <c r="S398" s="256" t="str">
        <f t="shared" si="145"/>
        <v/>
      </c>
      <c r="T398" s="256" t="str">
        <f t="shared" si="145"/>
        <v/>
      </c>
      <c r="U398" s="256" t="str">
        <f t="shared" si="145"/>
        <v/>
      </c>
      <c r="V398" s="612"/>
    </row>
    <row r="399" spans="1:22" ht="14.25" hidden="1" customHeight="1" x14ac:dyDescent="0.2">
      <c r="A399" s="287" t="s">
        <v>886</v>
      </c>
      <c r="B399" s="317"/>
      <c r="C399" s="317"/>
      <c r="D399" s="317"/>
      <c r="E399" s="317"/>
      <c r="F399" s="317"/>
      <c r="G399" s="317"/>
      <c r="H399" s="317"/>
      <c r="I399" s="317"/>
      <c r="J399" s="317"/>
      <c r="K399" s="317"/>
      <c r="L399" s="317"/>
      <c r="M399" s="317"/>
      <c r="N399" s="317"/>
      <c r="O399" s="317"/>
      <c r="P399" s="317"/>
      <c r="Q399" s="317"/>
      <c r="R399" s="317"/>
      <c r="S399" s="317"/>
      <c r="T399" s="317"/>
      <c r="U399" s="317"/>
      <c r="V399" s="612"/>
    </row>
    <row r="400" spans="1:22" ht="20.25" hidden="1" customHeight="1" x14ac:dyDescent="0.25">
      <c r="A400" s="259" t="s">
        <v>467</v>
      </c>
      <c r="B400" s="255"/>
      <c r="C400" s="255"/>
      <c r="D400" s="255"/>
      <c r="E400" s="255"/>
      <c r="F400" s="255"/>
      <c r="G400" s="255"/>
      <c r="H400" s="255"/>
      <c r="I400" s="255"/>
      <c r="J400" s="255"/>
      <c r="K400" s="255"/>
      <c r="L400" s="255"/>
      <c r="M400" s="255"/>
      <c r="N400" s="255"/>
      <c r="O400" s="255"/>
      <c r="P400" s="255"/>
      <c r="Q400" s="255"/>
      <c r="R400" s="255"/>
      <c r="S400" s="255"/>
      <c r="T400" s="255"/>
      <c r="U400" s="255"/>
      <c r="V400" s="612"/>
    </row>
    <row r="401" spans="1:22" s="297" customFormat="1" ht="12.75" hidden="1" customHeight="1" x14ac:dyDescent="0.25">
      <c r="A401" s="296"/>
      <c r="B401" s="261">
        <f>B225</f>
        <v>2020</v>
      </c>
      <c r="C401" s="261">
        <f>C225</f>
        <v>2021</v>
      </c>
      <c r="D401" s="261">
        <f t="shared" ref="D401:U401" si="146">D225</f>
        <v>2022</v>
      </c>
      <c r="E401" s="261">
        <f t="shared" si="146"/>
        <v>2023</v>
      </c>
      <c r="F401" s="261">
        <f t="shared" si="146"/>
        <v>2024</v>
      </c>
      <c r="G401" s="261">
        <f t="shared" si="146"/>
        <v>2025</v>
      </c>
      <c r="H401" s="261">
        <f t="shared" si="146"/>
        <v>2026</v>
      </c>
      <c r="I401" s="261">
        <f t="shared" si="146"/>
        <v>2027</v>
      </c>
      <c r="J401" s="261">
        <f t="shared" si="146"/>
        <v>2028</v>
      </c>
      <c r="K401" s="261">
        <f t="shared" si="146"/>
        <v>2029</v>
      </c>
      <c r="L401" s="261">
        <f t="shared" si="146"/>
        <v>2030</v>
      </c>
      <c r="M401" s="261">
        <f t="shared" si="146"/>
        <v>2031</v>
      </c>
      <c r="N401" s="261">
        <f t="shared" si="146"/>
        <v>2032</v>
      </c>
      <c r="O401" s="261">
        <f t="shared" si="146"/>
        <v>2033</v>
      </c>
      <c r="P401" s="261">
        <f t="shared" si="146"/>
        <v>2034</v>
      </c>
      <c r="Q401" s="261">
        <f t="shared" si="146"/>
        <v>2035</v>
      </c>
      <c r="R401" s="261">
        <f t="shared" si="146"/>
        <v>2036</v>
      </c>
      <c r="S401" s="261">
        <f t="shared" si="146"/>
        <v>2037</v>
      </c>
      <c r="T401" s="261">
        <f t="shared" si="146"/>
        <v>2038</v>
      </c>
      <c r="U401" s="261">
        <f t="shared" si="146"/>
        <v>2039</v>
      </c>
      <c r="V401" s="613"/>
    </row>
    <row r="402" spans="1:22" s="297" customFormat="1" ht="12.75" hidden="1" customHeight="1" x14ac:dyDescent="0.25">
      <c r="A402" s="296"/>
      <c r="B402" s="261" t="str">
        <f>B381</f>
        <v>AUD.</v>
      </c>
      <c r="C402" s="261" t="str">
        <f>C381</f>
        <v>AUD.</v>
      </c>
      <c r="D402" s="261" t="str">
        <f t="shared" ref="D402:U402" si="147">D381</f>
        <v>AUD.</v>
      </c>
      <c r="E402" s="261" t="str">
        <f t="shared" si="147"/>
        <v>EST.</v>
      </c>
      <c r="F402" s="261" t="str">
        <f t="shared" si="147"/>
        <v>PROJ.</v>
      </c>
      <c r="G402" s="261" t="str">
        <f t="shared" si="147"/>
        <v>PROJ.</v>
      </c>
      <c r="H402" s="261" t="str">
        <f t="shared" si="147"/>
        <v>PROJ.</v>
      </c>
      <c r="I402" s="261" t="str">
        <f t="shared" si="147"/>
        <v>PROJ.</v>
      </c>
      <c r="J402" s="261" t="str">
        <f t="shared" si="147"/>
        <v>PROJ.</v>
      </c>
      <c r="K402" s="261" t="str">
        <f t="shared" si="147"/>
        <v>PROJ.</v>
      </c>
      <c r="L402" s="261" t="str">
        <f t="shared" si="147"/>
        <v>PROJ.</v>
      </c>
      <c r="M402" s="261" t="str">
        <f t="shared" si="147"/>
        <v>PROJ.</v>
      </c>
      <c r="N402" s="261" t="str">
        <f t="shared" si="147"/>
        <v>PROJ.</v>
      </c>
      <c r="O402" s="261" t="str">
        <f t="shared" si="147"/>
        <v>PROJ.</v>
      </c>
      <c r="P402" s="261" t="str">
        <f t="shared" si="147"/>
        <v>PROJ.</v>
      </c>
      <c r="Q402" s="261" t="str">
        <f t="shared" si="147"/>
        <v>PROJ.</v>
      </c>
      <c r="R402" s="261" t="str">
        <f t="shared" si="147"/>
        <v>PROJ.</v>
      </c>
      <c r="S402" s="261" t="str">
        <f t="shared" si="147"/>
        <v>PROJ.</v>
      </c>
      <c r="T402" s="261" t="str">
        <f t="shared" si="147"/>
        <v>PROJ.</v>
      </c>
      <c r="U402" s="261" t="str">
        <f t="shared" si="147"/>
        <v>PROJ.</v>
      </c>
      <c r="V402" s="613"/>
    </row>
    <row r="403" spans="1:22" ht="14.25" hidden="1" customHeight="1" x14ac:dyDescent="0.2">
      <c r="A403" s="287" t="s">
        <v>430</v>
      </c>
      <c r="B403" s="256" t="str">
        <f>IF(ISERROR(B229/(Asset!C318-Asset!C314)),"",IF(B229/(Asset!C318-Asset!C314)=0,"",B229/(Asset!C318-Asset!C314)))</f>
        <v/>
      </c>
      <c r="C403" s="256" t="str">
        <f>IF(ISERROR(C229/(Asset!D318-Asset!D314)),"",IF(C229/(Asset!D318-Asset!D314)=0,"",C229/(Asset!D318-Asset!D314)))</f>
        <v/>
      </c>
      <c r="D403" s="256" t="str">
        <f>IF(ISERROR(D229/(Asset!E318-Asset!E314)),"",IF(D229/(Asset!E318-Asset!E314)=0,"",D229/(Asset!E318-Asset!E314)))</f>
        <v/>
      </c>
      <c r="E403" s="256" t="str">
        <f>IF(ISERROR(E229/(Asset!F318-Asset!F314)),"",IF(E229/(Asset!F318-Asset!F314)=0,"",E229/(Asset!F318-Asset!F314)))</f>
        <v/>
      </c>
      <c r="F403" s="256" t="str">
        <f>IF(ISERROR(F229/(Asset!G318-Asset!G314)),"",IF(F229/(Asset!G318-Asset!G314)=0,"",F229/(Asset!G318-Asset!G314)))</f>
        <v/>
      </c>
      <c r="G403" s="256" t="str">
        <f>IF(ISERROR(G229/(Asset!H318-Asset!H314)),"",IF(G229/(Asset!H318-Asset!H314)=0,"",G229/(Asset!H318-Asset!H314)))</f>
        <v/>
      </c>
      <c r="H403" s="256" t="str">
        <f>IF(ISERROR(H229/(Asset!I318-Asset!I314)),"",IF(H229/(Asset!I318-Asset!I314)=0,"",H229/(Asset!I318-Asset!I314)))</f>
        <v/>
      </c>
      <c r="I403" s="256" t="str">
        <f>IF(ISERROR(I229/(Asset!J318-Asset!J314)),"",IF(I229/(Asset!J318-Asset!J314)=0,"",I229/(Asset!J318-Asset!J314)))</f>
        <v/>
      </c>
      <c r="J403" s="256" t="str">
        <f>IF(ISERROR(J229/(Asset!K318-Asset!K314)),"",IF(J229/(Asset!K318-Asset!K314)=0,"",J229/(Asset!K318-Asset!K314)))</f>
        <v/>
      </c>
      <c r="K403" s="256" t="str">
        <f>IF(ISERROR(K229/(Asset!L318-Asset!L314)),"",IF(K229/(Asset!L318-Asset!L314)=0,"",K229/(Asset!L318-Asset!L314)))</f>
        <v/>
      </c>
      <c r="L403" s="256" t="str">
        <f>IF(ISERROR(L229/(Asset!M318-Asset!M314)),"",IF(L229/(Asset!M318-Asset!M314)=0,"",L229/(Asset!M318-Asset!M314)))</f>
        <v/>
      </c>
      <c r="M403" s="256" t="str">
        <f>IF(ISERROR(M229/(Asset!N318-Asset!N314)),"",IF(M229/(Asset!N318-Asset!N314)=0,"",M229/(Asset!N318-Asset!N314)))</f>
        <v/>
      </c>
      <c r="N403" s="256" t="str">
        <f>IF(ISERROR(N229/(Asset!O318-Asset!O314)),"",IF(N229/(Asset!O318-Asset!O314)=0,"",N229/(Asset!O318-Asset!O314)))</f>
        <v/>
      </c>
      <c r="O403" s="256" t="str">
        <f>IF(ISERROR(O229/(Asset!P318-Asset!P314)),"",IF(O229/(Asset!P318-Asset!P314)=0,"",O229/(Asset!P318-Asset!P314)))</f>
        <v/>
      </c>
      <c r="P403" s="256" t="str">
        <f>IF(ISERROR(P229/(Asset!Q318-Asset!Q314)),"",IF(P229/(Asset!Q318-Asset!Q314)=0,"",P229/(Asset!Q318-Asset!Q314)))</f>
        <v/>
      </c>
      <c r="Q403" s="256" t="str">
        <f>IF(ISERROR(Q229/(Asset!R318-Asset!R314)),"",IF(Q229/(Asset!R318-Asset!R314)=0,"",Q229/(Asset!R318-Asset!R314)))</f>
        <v/>
      </c>
      <c r="R403" s="256" t="str">
        <f>IF(ISERROR(R229/(Asset!S318-Asset!S314)),"",IF(R229/(Asset!S318-Asset!S314)=0,"",R229/(Asset!S318-Asset!S314)))</f>
        <v/>
      </c>
      <c r="S403" s="256" t="str">
        <f>IF(ISERROR(S229/(Asset!T318-Asset!T314)),"",IF(S229/(Asset!T318-Asset!T314)=0,"",S229/(Asset!T318-Asset!T314)))</f>
        <v/>
      </c>
      <c r="T403" s="256" t="str">
        <f>IF(ISERROR(T229/(Asset!U318-Asset!U314)),"",IF(T229/(Asset!U318-Asset!U314)=0,"",T229/(Asset!U318-Asset!U314)))</f>
        <v/>
      </c>
      <c r="U403" s="256" t="str">
        <f>IF(ISERROR(U229/(Asset!V318-Asset!V314)),"",IF(U229/(Asset!V318-Asset!V314)=0,"",U229/(Asset!V318-Asset!V314)))</f>
        <v/>
      </c>
      <c r="V403" s="612"/>
    </row>
    <row r="404" spans="1:22" s="303" customFormat="1" ht="14.25" hidden="1" customHeight="1" x14ac:dyDescent="0.2">
      <c r="A404" s="318" t="s">
        <v>427</v>
      </c>
      <c r="B404" s="271" t="str">
        <f>IF(ISERROR(B251/(Asset!C318-Asset!C314)),"",IF(B251/(Asset!C318-Asset!C314)=0,"",B251/(Asset!C318-Asset!C314)))</f>
        <v/>
      </c>
      <c r="C404" s="271" t="str">
        <f>IF(ISERROR(C251/(Asset!D318-Asset!D314)),"",IF(C251/(Asset!D318-Asset!D314)=0,"",C251/(Asset!D318-Asset!D314)))</f>
        <v/>
      </c>
      <c r="D404" s="271" t="str">
        <f>IF(ISERROR(D251/(Asset!E318-Asset!E314)),"",IF(D251/(Asset!E318-Asset!E314)=0,"",D251/(Asset!E318-Asset!E314)))</f>
        <v/>
      </c>
      <c r="E404" s="271" t="str">
        <f>IF(ISERROR(E251/(Asset!F318-Asset!F314)),"",IF(E251/(Asset!F318-Asset!F314)=0,"",E251/(Asset!F318-Asset!F314)))</f>
        <v/>
      </c>
      <c r="F404" s="271" t="str">
        <f>IF(ISERROR(F251/(Asset!G318-Asset!G314)),"",IF(F251/(Asset!G318-Asset!G314)=0,"",F251/(Asset!G318-Asset!G314)))</f>
        <v/>
      </c>
      <c r="G404" s="271" t="str">
        <f>IF(ISERROR(G251/(Asset!H318-Asset!H314)),"",IF(G251/(Asset!H318-Asset!H314)=0,"",G251/(Asset!H318-Asset!H314)))</f>
        <v/>
      </c>
      <c r="H404" s="271" t="str">
        <f>IF(ISERROR(H251/(Asset!I318-Asset!I314)),"",IF(H251/(Asset!I318-Asset!I314)=0,"",H251/(Asset!I318-Asset!I314)))</f>
        <v/>
      </c>
      <c r="I404" s="271" t="str">
        <f>IF(ISERROR(I251/(Asset!J318-Asset!J314)),"",IF(I251/(Asset!J318-Asset!J314)=0,"",I251/(Asset!J318-Asset!J314)))</f>
        <v/>
      </c>
      <c r="J404" s="271" t="str">
        <f>IF(ISERROR(J251/(Asset!K318-Asset!K314)),"",IF(J251/(Asset!K318-Asset!K314)=0,"",J251/(Asset!K318-Asset!K314)))</f>
        <v/>
      </c>
      <c r="K404" s="271" t="str">
        <f>IF(ISERROR(K251/(Asset!L318-Asset!L314)),"",IF(K251/(Asset!L318-Asset!L314)=0,"",K251/(Asset!L318-Asset!L314)))</f>
        <v/>
      </c>
      <c r="L404" s="271" t="str">
        <f>IF(ISERROR(L251/(Asset!M318-Asset!M314)),"",IF(L251/(Asset!M318-Asset!M314)=0,"",L251/(Asset!M318-Asset!M314)))</f>
        <v/>
      </c>
      <c r="M404" s="271" t="str">
        <f>IF(ISERROR(M251/(Asset!N318-Asset!N314)),"",IF(M251/(Asset!N318-Asset!N314)=0,"",M251/(Asset!N318-Asset!N314)))</f>
        <v/>
      </c>
      <c r="N404" s="271" t="str">
        <f>IF(ISERROR(N251/(Asset!O318-Asset!O314)),"",IF(N251/(Asset!O318-Asset!O314)=0,"",N251/(Asset!O318-Asset!O314)))</f>
        <v/>
      </c>
      <c r="O404" s="271" t="str">
        <f>IF(ISERROR(O251/(Asset!P318-Asset!P314)),"",IF(O251/(Asset!P318-Asset!P314)=0,"",O251/(Asset!P318-Asset!P314)))</f>
        <v/>
      </c>
      <c r="P404" s="271" t="str">
        <f>IF(ISERROR(P251/(Asset!Q318-Asset!Q314)),"",IF(P251/(Asset!Q318-Asset!Q314)=0,"",P251/(Asset!Q318-Asset!Q314)))</f>
        <v/>
      </c>
      <c r="Q404" s="271" t="str">
        <f>IF(ISERROR(Q251/(Asset!R318-Asset!R314)),"",IF(Q251/(Asset!R318-Asset!R314)=0,"",Q251/(Asset!R318-Asset!R314)))</f>
        <v/>
      </c>
      <c r="R404" s="271" t="str">
        <f>IF(ISERROR(R251/(Asset!S318-Asset!S314)),"",IF(R251/(Asset!S318-Asset!S314)=0,"",R251/(Asset!S318-Asset!S314)))</f>
        <v/>
      </c>
      <c r="S404" s="271" t="str">
        <f>IF(ISERROR(S251/(Asset!T318-Asset!T314)),"",IF(S251/(Asset!T318-Asset!T314)=0,"",S251/(Asset!T318-Asset!T314)))</f>
        <v/>
      </c>
      <c r="T404" s="271" t="str">
        <f>IF(ISERROR(T251/(Asset!U318-Asset!U314)),"",IF(T251/(Asset!U318-Asset!U314)=0,"",T251/(Asset!U318-Asset!U314)))</f>
        <v/>
      </c>
      <c r="U404" s="271" t="str">
        <f>IF(ISERROR(U251/(Asset!V318-Asset!V314)),"",IF(U251/(Asset!V318-Asset!V314)=0,"",U251/(Asset!V318-Asset!V314)))</f>
        <v/>
      </c>
      <c r="V404" s="618"/>
    </row>
    <row r="405" spans="1:22" s="303" customFormat="1" ht="14.25" hidden="1" customHeight="1" x14ac:dyDescent="0.2">
      <c r="A405" s="318" t="s">
        <v>428</v>
      </c>
      <c r="B405" s="271" t="str">
        <f>IF(ISERROR('Oper.St.'!C294/'Oper.St.'!C248),"",IF('Oper.St.'!C294/'Oper.St.'!C248=0,"",'Oper.St.'!C294/'Oper.St.'!C248))</f>
        <v/>
      </c>
      <c r="C405" s="271" t="str">
        <f>IF(ISERROR('Oper.St.'!D294/'Oper.St.'!D248),"",IF('Oper.St.'!D294/'Oper.St.'!D248=0,"",'Oper.St.'!D294/'Oper.St.'!D248))</f>
        <v/>
      </c>
      <c r="D405" s="271" t="str">
        <f>IF(ISERROR('Oper.St.'!E294/'Oper.St.'!E248),"",IF('Oper.St.'!E294/'Oper.St.'!E248=0,"",'Oper.St.'!E294/'Oper.St.'!E248))</f>
        <v/>
      </c>
      <c r="E405" s="271" t="str">
        <f>IF(ISERROR('Oper.St.'!F294/'Oper.St.'!F248),"",IF('Oper.St.'!F294/'Oper.St.'!F248=0,"",'Oper.St.'!F294/'Oper.St.'!F248))</f>
        <v/>
      </c>
      <c r="F405" s="271" t="str">
        <f>IF(ISERROR('Oper.St.'!G294/'Oper.St.'!G248),"",IF('Oper.St.'!G294/'Oper.St.'!G248=0,"",'Oper.St.'!G294/'Oper.St.'!G248))</f>
        <v/>
      </c>
      <c r="G405" s="271" t="str">
        <f>IF(ISERROR('Oper.St.'!H294/'Oper.St.'!H248),"",IF('Oper.St.'!H294/'Oper.St.'!H248=0,"",'Oper.St.'!H294/'Oper.St.'!H248))</f>
        <v/>
      </c>
      <c r="H405" s="271" t="str">
        <f>IF(ISERROR('Oper.St.'!I294/'Oper.St.'!I248),"",IF('Oper.St.'!I294/'Oper.St.'!I248=0,"",'Oper.St.'!I294/'Oper.St.'!I248))</f>
        <v/>
      </c>
      <c r="I405" s="271" t="str">
        <f>IF(ISERROR('Oper.St.'!J294/'Oper.St.'!J248),"",IF('Oper.St.'!J294/'Oper.St.'!J248=0,"",'Oper.St.'!J294/'Oper.St.'!J248))</f>
        <v/>
      </c>
      <c r="J405" s="271" t="str">
        <f>IF(ISERROR('Oper.St.'!K294/'Oper.St.'!K248),"",IF('Oper.St.'!K294/'Oper.St.'!K248=0,"",'Oper.St.'!K294/'Oper.St.'!K248))</f>
        <v/>
      </c>
      <c r="K405" s="271" t="str">
        <f>IF(ISERROR('Oper.St.'!L294/'Oper.St.'!L248),"",IF('Oper.St.'!L294/'Oper.St.'!L248=0,"",'Oper.St.'!L294/'Oper.St.'!L248))</f>
        <v/>
      </c>
      <c r="L405" s="271" t="str">
        <f>IF(ISERROR('Oper.St.'!M294/'Oper.St.'!M248),"",IF('Oper.St.'!M294/'Oper.St.'!M248=0,"",'Oper.St.'!M294/'Oper.St.'!M248))</f>
        <v/>
      </c>
      <c r="M405" s="271" t="str">
        <f>IF(ISERROR('Oper.St.'!N294/'Oper.St.'!N248),"",IF('Oper.St.'!N294/'Oper.St.'!N248=0,"",'Oper.St.'!N294/'Oper.St.'!N248))</f>
        <v/>
      </c>
      <c r="N405" s="271" t="str">
        <f>IF(ISERROR('Oper.St.'!O294/'Oper.St.'!O248),"",IF('Oper.St.'!O294/'Oper.St.'!O248=0,"",'Oper.St.'!O294/'Oper.St.'!O248))</f>
        <v/>
      </c>
      <c r="O405" s="271" t="str">
        <f>IF(ISERROR('Oper.St.'!P294/'Oper.St.'!P248),"",IF('Oper.St.'!P294/'Oper.St.'!P248=0,"",'Oper.St.'!P294/'Oper.St.'!P248))</f>
        <v/>
      </c>
      <c r="P405" s="271" t="str">
        <f>IF(ISERROR('Oper.St.'!Q294/'Oper.St.'!Q248),"",IF('Oper.St.'!Q294/'Oper.St.'!Q248=0,"",'Oper.St.'!Q294/'Oper.St.'!Q248))</f>
        <v/>
      </c>
      <c r="Q405" s="271" t="str">
        <f>IF(ISERROR('Oper.St.'!R294/'Oper.St.'!R248),"",IF('Oper.St.'!R294/'Oper.St.'!R248=0,"",'Oper.St.'!R294/'Oper.St.'!R248))</f>
        <v/>
      </c>
      <c r="R405" s="271" t="str">
        <f>IF(ISERROR('Oper.St.'!S294/'Oper.St.'!S248),"",IF('Oper.St.'!S294/'Oper.St.'!S248=0,"",'Oper.St.'!S294/'Oper.St.'!S248))</f>
        <v/>
      </c>
      <c r="S405" s="271" t="str">
        <f>IF(ISERROR('Oper.St.'!T294/'Oper.St.'!T248),"",IF('Oper.St.'!T294/'Oper.St.'!T248=0,"",'Oper.St.'!T294/'Oper.St.'!T248))</f>
        <v/>
      </c>
      <c r="T405" s="271" t="str">
        <f>IF(ISERROR('Oper.St.'!U294/'Oper.St.'!U248),"",IF('Oper.St.'!U294/'Oper.St.'!U248=0,"",'Oper.St.'!U294/'Oper.St.'!U248))</f>
        <v/>
      </c>
      <c r="U405" s="271" t="str">
        <f>IF(ISERROR('Oper.St.'!V294/'Oper.St.'!V248),"",IF('Oper.St.'!V294/'Oper.St.'!V248=0,"",'Oper.St.'!V294/'Oper.St.'!V248))</f>
        <v/>
      </c>
      <c r="V405" s="618"/>
    </row>
    <row r="406" spans="1:22" s="303" customFormat="1" ht="14.25" hidden="1" customHeight="1" x14ac:dyDescent="0.2">
      <c r="A406" s="318" t="s">
        <v>431</v>
      </c>
      <c r="B406" s="271" t="str">
        <f>IF(ISERROR(B386/B382),"",IF(B386/B382=0,"",B386/B382))</f>
        <v/>
      </c>
      <c r="C406" s="271" t="str">
        <f>IF(ISERROR(C386/C382),"",IF(C386/C382=0,"",C386/C382))</f>
        <v/>
      </c>
      <c r="D406" s="271" t="str">
        <f t="shared" ref="D406:U406" si="148">IF(ISERROR(D386/D382),"",IF(D386/D382=0,"",D386/D382))</f>
        <v/>
      </c>
      <c r="E406" s="271" t="str">
        <f t="shared" si="148"/>
        <v/>
      </c>
      <c r="F406" s="271" t="str">
        <f t="shared" si="148"/>
        <v/>
      </c>
      <c r="G406" s="271" t="str">
        <f t="shared" si="148"/>
        <v/>
      </c>
      <c r="H406" s="271" t="str">
        <f t="shared" si="148"/>
        <v/>
      </c>
      <c r="I406" s="271" t="str">
        <f t="shared" si="148"/>
        <v/>
      </c>
      <c r="J406" s="271" t="str">
        <f t="shared" si="148"/>
        <v/>
      </c>
      <c r="K406" s="271" t="str">
        <f t="shared" si="148"/>
        <v/>
      </c>
      <c r="L406" s="271" t="str">
        <f t="shared" si="148"/>
        <v/>
      </c>
      <c r="M406" s="271" t="str">
        <f t="shared" si="148"/>
        <v/>
      </c>
      <c r="N406" s="271" t="str">
        <f t="shared" si="148"/>
        <v/>
      </c>
      <c r="O406" s="271" t="str">
        <f t="shared" si="148"/>
        <v/>
      </c>
      <c r="P406" s="271" t="str">
        <f t="shared" si="148"/>
        <v/>
      </c>
      <c r="Q406" s="271" t="str">
        <f t="shared" si="148"/>
        <v/>
      </c>
      <c r="R406" s="271" t="str">
        <f t="shared" si="148"/>
        <v/>
      </c>
      <c r="S406" s="271" t="str">
        <f t="shared" si="148"/>
        <v/>
      </c>
      <c r="T406" s="271" t="str">
        <f t="shared" si="148"/>
        <v/>
      </c>
      <c r="U406" s="271" t="str">
        <f t="shared" si="148"/>
        <v/>
      </c>
      <c r="V406" s="618"/>
    </row>
    <row r="407" spans="1:22" s="320" customFormat="1" ht="26.25" hidden="1" customHeight="1" x14ac:dyDescent="0.2">
      <c r="A407" s="319" t="s">
        <v>397</v>
      </c>
      <c r="B407" s="275" t="str">
        <f>B443</f>
        <v/>
      </c>
      <c r="C407" s="275" t="str">
        <f>C443</f>
        <v/>
      </c>
      <c r="D407" s="275" t="str">
        <f t="shared" ref="D407:U407" si="149">D443</f>
        <v/>
      </c>
      <c r="E407" s="275" t="str">
        <f t="shared" si="149"/>
        <v/>
      </c>
      <c r="F407" s="275" t="str">
        <f t="shared" si="149"/>
        <v/>
      </c>
      <c r="G407" s="275" t="str">
        <f t="shared" si="149"/>
        <v/>
      </c>
      <c r="H407" s="275" t="str">
        <f t="shared" si="149"/>
        <v/>
      </c>
      <c r="I407" s="275" t="str">
        <f t="shared" si="149"/>
        <v/>
      </c>
      <c r="J407" s="275" t="str">
        <f t="shared" si="149"/>
        <v/>
      </c>
      <c r="K407" s="275" t="str">
        <f t="shared" si="149"/>
        <v/>
      </c>
      <c r="L407" s="275" t="str">
        <f t="shared" si="149"/>
        <v/>
      </c>
      <c r="M407" s="275" t="str">
        <f t="shared" si="149"/>
        <v/>
      </c>
      <c r="N407" s="275" t="str">
        <f t="shared" si="149"/>
        <v/>
      </c>
      <c r="O407" s="275" t="str">
        <f t="shared" si="149"/>
        <v/>
      </c>
      <c r="P407" s="275" t="str">
        <f t="shared" si="149"/>
        <v/>
      </c>
      <c r="Q407" s="275" t="str">
        <f t="shared" si="149"/>
        <v/>
      </c>
      <c r="R407" s="275" t="str">
        <f t="shared" si="149"/>
        <v/>
      </c>
      <c r="S407" s="275" t="str">
        <f t="shared" si="149"/>
        <v/>
      </c>
      <c r="T407" s="275" t="str">
        <f t="shared" si="149"/>
        <v/>
      </c>
      <c r="U407" s="275" t="str">
        <f t="shared" si="149"/>
        <v/>
      </c>
      <c r="V407" s="624"/>
    </row>
    <row r="408" spans="1:22" ht="14.25" hidden="1" customHeight="1" x14ac:dyDescent="0.2">
      <c r="A408" s="287" t="s">
        <v>429</v>
      </c>
      <c r="B408" s="256" t="str">
        <f>IF(ISERROR('Oper.St.'!C298/'Oper.St.'!C290),"",IF('Oper.St.'!C298/'Oper.St.'!C290=0,"",'Oper.St.'!C298/'Oper.St.'!C290))</f>
        <v/>
      </c>
      <c r="C408" s="256" t="str">
        <f>IF(ISERROR('Oper.St.'!D298/'Oper.St.'!D290),"",IF('Oper.St.'!D298/'Oper.St.'!D290=0,"",'Oper.St.'!D298/'Oper.St.'!D290))</f>
        <v/>
      </c>
      <c r="D408" s="256" t="str">
        <f>IF(ISERROR('Oper.St.'!E298/'Oper.St.'!E290),"",IF('Oper.St.'!E298/'Oper.St.'!E290=0,"",'Oper.St.'!E298/'Oper.St.'!E290))</f>
        <v/>
      </c>
      <c r="E408" s="256" t="str">
        <f>IF(ISERROR('Oper.St.'!F298/'Oper.St.'!F290),"",IF('Oper.St.'!F298/'Oper.St.'!F290=0,"",'Oper.St.'!F298/'Oper.St.'!F290))</f>
        <v/>
      </c>
      <c r="F408" s="256" t="str">
        <f>IF(ISERROR('Oper.St.'!G298/'Oper.St.'!G290),"",IF('Oper.St.'!G298/'Oper.St.'!G290=0,"",'Oper.St.'!G298/'Oper.St.'!G290))</f>
        <v/>
      </c>
      <c r="G408" s="256" t="str">
        <f>IF(ISERROR('Oper.St.'!H298/'Oper.St.'!H290),"",IF('Oper.St.'!H298/'Oper.St.'!H290=0,"",'Oper.St.'!H298/'Oper.St.'!H290))</f>
        <v/>
      </c>
      <c r="H408" s="256" t="str">
        <f>IF(ISERROR('Oper.St.'!I298/'Oper.St.'!I290),"",IF('Oper.St.'!I298/'Oper.St.'!I290=0,"",'Oper.St.'!I298/'Oper.St.'!I290))</f>
        <v/>
      </c>
      <c r="I408" s="256" t="str">
        <f>IF(ISERROR('Oper.St.'!J298/'Oper.St.'!J290),"",IF('Oper.St.'!J298/'Oper.St.'!J290=0,"",'Oper.St.'!J298/'Oper.St.'!J290))</f>
        <v/>
      </c>
      <c r="J408" s="256" t="str">
        <f>IF(ISERROR('Oper.St.'!K298/'Oper.St.'!K290),"",IF('Oper.St.'!K298/'Oper.St.'!K290=0,"",'Oper.St.'!K298/'Oper.St.'!K290))</f>
        <v/>
      </c>
      <c r="K408" s="256" t="str">
        <f>IF(ISERROR('Oper.St.'!L298/'Oper.St.'!L290),"",IF('Oper.St.'!L298/'Oper.St.'!L290=0,"",'Oper.St.'!L298/'Oper.St.'!L290))</f>
        <v/>
      </c>
      <c r="L408" s="256" t="str">
        <f>IF(ISERROR('Oper.St.'!M298/'Oper.St.'!M290),"",IF('Oper.St.'!M298/'Oper.St.'!M290=0,"",'Oper.St.'!M298/'Oper.St.'!M290))</f>
        <v/>
      </c>
      <c r="M408" s="256" t="str">
        <f>IF(ISERROR('Oper.St.'!N298/'Oper.St.'!N290),"",IF('Oper.St.'!N298/'Oper.St.'!N290=0,"",'Oper.St.'!N298/'Oper.St.'!N290))</f>
        <v/>
      </c>
      <c r="N408" s="256" t="str">
        <f>IF(ISERROR('Oper.St.'!O298/'Oper.St.'!O290),"",IF('Oper.St.'!O298/'Oper.St.'!O290=0,"",'Oper.St.'!O298/'Oper.St.'!O290))</f>
        <v/>
      </c>
      <c r="O408" s="256" t="str">
        <f>IF(ISERROR('Oper.St.'!P298/'Oper.St.'!P290),"",IF('Oper.St.'!P298/'Oper.St.'!P290=0,"",'Oper.St.'!P298/'Oper.St.'!P290))</f>
        <v/>
      </c>
      <c r="P408" s="256" t="str">
        <f>IF(ISERROR('Oper.St.'!Q298/'Oper.St.'!Q290),"",IF('Oper.St.'!Q298/'Oper.St.'!Q290=0,"",'Oper.St.'!Q298/'Oper.St.'!Q290))</f>
        <v/>
      </c>
      <c r="Q408" s="256" t="str">
        <f>IF(ISERROR('Oper.St.'!R298/'Oper.St.'!R290),"",IF('Oper.St.'!R298/'Oper.St.'!R290=0,"",'Oper.St.'!R298/'Oper.St.'!R290))</f>
        <v/>
      </c>
      <c r="R408" s="256" t="str">
        <f>IF(ISERROR('Oper.St.'!S298/'Oper.St.'!S290),"",IF('Oper.St.'!S298/'Oper.St.'!S290=0,"",'Oper.St.'!S298/'Oper.St.'!S290))</f>
        <v/>
      </c>
      <c r="S408" s="256" t="str">
        <f>IF(ISERROR('Oper.St.'!T298/'Oper.St.'!T290),"",IF('Oper.St.'!T298/'Oper.St.'!T290=0,"",'Oper.St.'!T298/'Oper.St.'!T290))</f>
        <v/>
      </c>
      <c r="T408" s="256" t="str">
        <f>IF(ISERROR('Oper.St.'!U298/'Oper.St.'!U290),"",IF('Oper.St.'!U298/'Oper.St.'!U290=0,"",'Oper.St.'!U298/'Oper.St.'!U290))</f>
        <v/>
      </c>
      <c r="U408" s="256" t="str">
        <f>IF(ISERROR('Oper.St.'!V298/'Oper.St.'!V290),"",IF('Oper.St.'!V298/'Oper.St.'!V290=0,"",'Oper.St.'!V298/'Oper.St.'!V290))</f>
        <v/>
      </c>
      <c r="V408" s="612"/>
    </row>
    <row r="409" spans="1:22" ht="14.25" hidden="1" customHeight="1" x14ac:dyDescent="0.2">
      <c r="A409" s="287" t="s">
        <v>434</v>
      </c>
      <c r="B409" s="256" t="str">
        <f>IF(ISERROR(B386/'Oper.St.'!C242),"",IF(B386/'Oper.St.'!C242=0,"",B386/'Oper.St.'!C242))</f>
        <v/>
      </c>
      <c r="C409" s="256" t="str">
        <f>IF(ISERROR(C386/'Oper.St.'!D242),"",IF(C386/'Oper.St.'!D242=0,"",C386/'Oper.St.'!D242))</f>
        <v/>
      </c>
      <c r="D409" s="256" t="str">
        <f>IF(ISERROR(D386/'Oper.St.'!E242),"",IF(D386/'Oper.St.'!E242=0,"",D386/'Oper.St.'!E242))</f>
        <v/>
      </c>
      <c r="E409" s="256" t="str">
        <f>IF(ISERROR(E386/'Oper.St.'!F242),"",IF(E386/'Oper.St.'!F242=0,"",E386/'Oper.St.'!F242))</f>
        <v/>
      </c>
      <c r="F409" s="256" t="str">
        <f>IF(ISERROR(F386/'Oper.St.'!G242),"",IF(F386/'Oper.St.'!G242=0,"",F386/'Oper.St.'!G242))</f>
        <v/>
      </c>
      <c r="G409" s="256" t="str">
        <f>IF(ISERROR(G386/'Oper.St.'!H242),"",IF(G386/'Oper.St.'!H242=0,"",G386/'Oper.St.'!H242))</f>
        <v/>
      </c>
      <c r="H409" s="256" t="str">
        <f>IF(ISERROR(H386/'Oper.St.'!I242),"",IF(H386/'Oper.St.'!I242=0,"",H386/'Oper.St.'!I242))</f>
        <v/>
      </c>
      <c r="I409" s="256" t="str">
        <f>IF(ISERROR(I386/'Oper.St.'!J242),"",IF(I386/'Oper.St.'!J242=0,"",I386/'Oper.St.'!J242))</f>
        <v/>
      </c>
      <c r="J409" s="256" t="str">
        <f>IF(ISERROR(J386/'Oper.St.'!K242),"",IF(J386/'Oper.St.'!K242=0,"",J386/'Oper.St.'!K242))</f>
        <v/>
      </c>
      <c r="K409" s="256" t="str">
        <f>IF(ISERROR(K386/'Oper.St.'!L242),"",IF(K386/'Oper.St.'!L242=0,"",K386/'Oper.St.'!L242))</f>
        <v/>
      </c>
      <c r="L409" s="256" t="str">
        <f>IF(ISERROR(L386/'Oper.St.'!M242),"",IF(L386/'Oper.St.'!M242=0,"",L386/'Oper.St.'!M242))</f>
        <v/>
      </c>
      <c r="M409" s="256" t="str">
        <f>IF(ISERROR(M386/'Oper.St.'!N242),"",IF(M386/'Oper.St.'!N242=0,"",M386/'Oper.St.'!N242))</f>
        <v/>
      </c>
      <c r="N409" s="256" t="str">
        <f>IF(ISERROR(N386/'Oper.St.'!O242),"",IF(N386/'Oper.St.'!O242=0,"",N386/'Oper.St.'!O242))</f>
        <v/>
      </c>
      <c r="O409" s="256" t="str">
        <f>IF(ISERROR(O386/'Oper.St.'!P242),"",IF(O386/'Oper.St.'!P242=0,"",O386/'Oper.St.'!P242))</f>
        <v/>
      </c>
      <c r="P409" s="256" t="str">
        <f>IF(ISERROR(P386/'Oper.St.'!Q242),"",IF(P386/'Oper.St.'!Q242=0,"",P386/'Oper.St.'!Q242))</f>
        <v/>
      </c>
      <c r="Q409" s="256" t="str">
        <f>IF(ISERROR(Q386/'Oper.St.'!R242),"",IF(Q386/'Oper.St.'!R242=0,"",Q386/'Oper.St.'!R242))</f>
        <v/>
      </c>
      <c r="R409" s="256" t="str">
        <f>IF(ISERROR(R386/'Oper.St.'!S242),"",IF(R386/'Oper.St.'!S242=0,"",R386/'Oper.St.'!S242))</f>
        <v/>
      </c>
      <c r="S409" s="256" t="str">
        <f>IF(ISERROR(S386/'Oper.St.'!T242),"",IF(S386/'Oper.St.'!T242=0,"",S386/'Oper.St.'!T242))</f>
        <v/>
      </c>
      <c r="T409" s="256" t="str">
        <f>IF(ISERROR(T386/'Oper.St.'!U242),"",IF(T386/'Oper.St.'!U242=0,"",T386/'Oper.St.'!U242))</f>
        <v/>
      </c>
      <c r="U409" s="256" t="str">
        <f>IF(ISERROR(U386/'Oper.St.'!V242),"",IF(U386/'Oper.St.'!V242=0,"",U386/'Oper.St.'!V242))</f>
        <v/>
      </c>
      <c r="V409" s="612"/>
    </row>
    <row r="410" spans="1:22" ht="23.25" hidden="1" customHeight="1" x14ac:dyDescent="0.2">
      <c r="A410" s="401" t="s">
        <v>893</v>
      </c>
      <c r="B410" s="255"/>
      <c r="C410" s="255"/>
      <c r="D410" s="255"/>
      <c r="E410" s="255"/>
      <c r="F410" s="255"/>
      <c r="G410" s="255"/>
      <c r="H410" s="255"/>
      <c r="I410" s="255"/>
      <c r="J410" s="255"/>
      <c r="K410" s="255"/>
      <c r="L410" s="255"/>
      <c r="M410" s="255"/>
      <c r="N410" s="255"/>
      <c r="O410" s="255"/>
      <c r="P410" s="255"/>
      <c r="Q410" s="255"/>
      <c r="R410" s="255"/>
      <c r="S410" s="255"/>
      <c r="T410" s="255"/>
      <c r="U410" s="255"/>
      <c r="V410" s="612"/>
    </row>
    <row r="411" spans="1:22" s="75" customFormat="1" ht="12" hidden="1" customHeight="1" x14ac:dyDescent="0.2">
      <c r="A411" s="308" t="s">
        <v>323</v>
      </c>
      <c r="B411" s="290">
        <f>B437</f>
        <v>1.31</v>
      </c>
      <c r="C411" s="290">
        <f>C437</f>
        <v>2.4700000000000002</v>
      </c>
      <c r="D411" s="290">
        <f t="shared" ref="D411:U411" si="150">D437</f>
        <v>0.55000000000000004</v>
      </c>
      <c r="E411" s="290">
        <f t="shared" si="150"/>
        <v>0.64</v>
      </c>
      <c r="F411" s="290">
        <f t="shared" si="150"/>
        <v>1.37</v>
      </c>
      <c r="G411" s="290">
        <f t="shared" si="150"/>
        <v>1.71</v>
      </c>
      <c r="H411" s="290">
        <f t="shared" si="150"/>
        <v>1.97</v>
      </c>
      <c r="I411" s="290">
        <f t="shared" si="150"/>
        <v>2.2400000000000002</v>
      </c>
      <c r="J411" s="290">
        <f t="shared" si="150"/>
        <v>2.4300000000000002</v>
      </c>
      <c r="K411" s="290">
        <f t="shared" si="150"/>
        <v>2.4300000000000002</v>
      </c>
      <c r="L411" s="290">
        <f t="shared" si="150"/>
        <v>4.78</v>
      </c>
      <c r="M411" s="290" t="str">
        <f t="shared" si="150"/>
        <v/>
      </c>
      <c r="N411" s="290" t="str">
        <f t="shared" si="150"/>
        <v/>
      </c>
      <c r="O411" s="290" t="str">
        <f t="shared" si="150"/>
        <v/>
      </c>
      <c r="P411" s="290" t="str">
        <f t="shared" si="150"/>
        <v/>
      </c>
      <c r="Q411" s="290" t="str">
        <f t="shared" si="150"/>
        <v/>
      </c>
      <c r="R411" s="290" t="str">
        <f t="shared" si="150"/>
        <v/>
      </c>
      <c r="S411" s="290" t="str">
        <f t="shared" si="150"/>
        <v/>
      </c>
      <c r="T411" s="290" t="str">
        <f t="shared" si="150"/>
        <v/>
      </c>
      <c r="U411" s="290" t="str">
        <f t="shared" si="150"/>
        <v/>
      </c>
      <c r="V411" s="621"/>
    </row>
    <row r="412" spans="1:22" s="75" customFormat="1" ht="12" hidden="1" customHeight="1" x14ac:dyDescent="0.2">
      <c r="A412" s="309" t="s">
        <v>894</v>
      </c>
      <c r="B412" s="399" t="str">
        <f>IF(ISERROR(('CRA Validation'!B411-INPUT!C425)/INPUT!C425),"",('CRA Validation'!B411-INPUT!C425)/INPUT!C425)</f>
        <v/>
      </c>
      <c r="C412" s="399" t="str">
        <f>IF(ISERROR(('CRA Validation'!C411-INPUT!D425)/INPUT!D425),"",('CRA Validation'!C411-INPUT!D425)/INPUT!D425)</f>
        <v/>
      </c>
      <c r="D412" s="399" t="str">
        <f>IF(ISERROR(('CRA Validation'!D411-INPUT!E425)/INPUT!E425),"",('CRA Validation'!D411-INPUT!E425)/INPUT!E425)</f>
        <v/>
      </c>
      <c r="E412" s="399" t="str">
        <f>IF(ISERROR(('CRA Validation'!E411-INPUT!F425)/INPUT!F425),"",('CRA Validation'!E411-INPUT!F425)/INPUT!F425)</f>
        <v/>
      </c>
      <c r="F412" s="399" t="str">
        <f>IF(ISERROR(('CRA Validation'!F411-INPUT!G425)/INPUT!G425),"",('CRA Validation'!F411-INPUT!G425)/INPUT!G425)</f>
        <v/>
      </c>
      <c r="G412" s="399" t="str">
        <f>IF(ISERROR(('CRA Validation'!G411-INPUT!H425)/INPUT!H425),"",('CRA Validation'!G411-INPUT!H425)/INPUT!H425)</f>
        <v/>
      </c>
      <c r="H412" s="399" t="str">
        <f>IF(ISERROR(('CRA Validation'!H411-INPUT!I425)/INPUT!I425),"",('CRA Validation'!H411-INPUT!I425)/INPUT!I425)</f>
        <v/>
      </c>
      <c r="I412" s="399" t="str">
        <f>IF(ISERROR(('CRA Validation'!I411-INPUT!J425)/INPUT!J425),"",('CRA Validation'!I411-INPUT!J425)/INPUT!J425)</f>
        <v/>
      </c>
      <c r="J412" s="399" t="str">
        <f>IF(ISERROR(('CRA Validation'!J411-INPUT!K425)/INPUT!K425),"",('CRA Validation'!J411-INPUT!K425)/INPUT!K425)</f>
        <v/>
      </c>
      <c r="K412" s="399" t="str">
        <f>IF(ISERROR(('CRA Validation'!K411-INPUT!L425)/INPUT!L425),"",('CRA Validation'!K411-INPUT!L425)/INPUT!L425)</f>
        <v/>
      </c>
      <c r="L412" s="399" t="str">
        <f>IF(ISERROR(('CRA Validation'!L411-INPUT!M425)/INPUT!M425),"",('CRA Validation'!L411-INPUT!M425)/INPUT!M425)</f>
        <v/>
      </c>
      <c r="M412" s="399" t="str">
        <f>IF(ISERROR(('CRA Validation'!M411-INPUT!N425)/INPUT!N425),"",('CRA Validation'!M411-INPUT!N425)/INPUT!N425)</f>
        <v/>
      </c>
      <c r="N412" s="399" t="str">
        <f>IF(ISERROR(('CRA Validation'!N411-INPUT!O425)/INPUT!O425),"",('CRA Validation'!N411-INPUT!O425)/INPUT!O425)</f>
        <v/>
      </c>
      <c r="O412" s="399" t="str">
        <f>IF(ISERROR(('CRA Validation'!O411-INPUT!P425)/INPUT!P425),"",('CRA Validation'!O411-INPUT!P425)/INPUT!P425)</f>
        <v/>
      </c>
      <c r="P412" s="399" t="str">
        <f>IF(ISERROR(('CRA Validation'!P411-INPUT!Q425)/INPUT!Q425),"",('CRA Validation'!P411-INPUT!Q425)/INPUT!Q425)</f>
        <v/>
      </c>
      <c r="Q412" s="399" t="str">
        <f>IF(ISERROR(('CRA Validation'!Q411-INPUT!R425)/INPUT!R425),"",('CRA Validation'!Q411-INPUT!R425)/INPUT!R425)</f>
        <v/>
      </c>
      <c r="R412" s="399" t="str">
        <f>IF(ISERROR(('CRA Validation'!R411-INPUT!S425)/INPUT!S425),"",('CRA Validation'!R411-INPUT!S425)/INPUT!S425)</f>
        <v/>
      </c>
      <c r="S412" s="399" t="str">
        <f>IF(ISERROR(('CRA Validation'!S411-INPUT!T425)/INPUT!T425),"",('CRA Validation'!S411-INPUT!T425)/INPUT!T425)</f>
        <v/>
      </c>
      <c r="T412" s="399" t="str">
        <f>IF(ISERROR(('CRA Validation'!T411-INPUT!U425)/INPUT!U425),"",('CRA Validation'!T411-INPUT!U425)/INPUT!U425)</f>
        <v/>
      </c>
      <c r="U412" s="399" t="str">
        <f>IF(ISERROR(('CRA Validation'!U411-INPUT!V425)/INPUT!V425),"",('CRA Validation'!U411-INPUT!V425)/INPUT!V425)</f>
        <v/>
      </c>
      <c r="V412" s="621"/>
    </row>
    <row r="413" spans="1:22" s="312" customFormat="1" ht="12" hidden="1" customHeight="1" x14ac:dyDescent="0.2">
      <c r="A413" s="310" t="s">
        <v>20</v>
      </c>
      <c r="B413" s="290">
        <f>B436</f>
        <v>2.5</v>
      </c>
      <c r="C413" s="290">
        <f>C436</f>
        <v>1.59</v>
      </c>
      <c r="D413" s="290">
        <f t="shared" ref="D413:U413" si="151">D436</f>
        <v>10.02</v>
      </c>
      <c r="E413" s="290">
        <f t="shared" si="151"/>
        <v>0.77</v>
      </c>
      <c r="F413" s="290">
        <f t="shared" si="151"/>
        <v>1.38</v>
      </c>
      <c r="G413" s="290">
        <f t="shared" si="151"/>
        <v>1.2</v>
      </c>
      <c r="H413" s="290">
        <f t="shared" si="151"/>
        <v>0.97</v>
      </c>
      <c r="I413" s="290">
        <f t="shared" si="151"/>
        <v>0.72</v>
      </c>
      <c r="J413" s="290">
        <f t="shared" si="151"/>
        <v>0.51</v>
      </c>
      <c r="K413" s="290">
        <f t="shared" si="151"/>
        <v>0.33</v>
      </c>
      <c r="L413" s="290">
        <f t="shared" si="151"/>
        <v>0.15</v>
      </c>
      <c r="M413" s="290" t="str">
        <f t="shared" si="151"/>
        <v/>
      </c>
      <c r="N413" s="290" t="str">
        <f t="shared" si="151"/>
        <v/>
      </c>
      <c r="O413" s="290" t="str">
        <f t="shared" si="151"/>
        <v/>
      </c>
      <c r="P413" s="290" t="str">
        <f t="shared" si="151"/>
        <v/>
      </c>
      <c r="Q413" s="290" t="str">
        <f t="shared" si="151"/>
        <v/>
      </c>
      <c r="R413" s="290" t="str">
        <f t="shared" si="151"/>
        <v/>
      </c>
      <c r="S413" s="290" t="str">
        <f t="shared" si="151"/>
        <v/>
      </c>
      <c r="T413" s="290" t="str">
        <f t="shared" si="151"/>
        <v/>
      </c>
      <c r="U413" s="290" t="str">
        <f t="shared" si="151"/>
        <v/>
      </c>
      <c r="V413" s="622"/>
    </row>
    <row r="414" spans="1:22" s="312" customFormat="1" ht="12" hidden="1" customHeight="1" x14ac:dyDescent="0.2">
      <c r="A414" s="313" t="s">
        <v>894</v>
      </c>
      <c r="B414" s="399" t="str">
        <f>IF(ISERROR((INPUT!C426-B413)/INPUT!C426),"",(INPUT!C426-B413)/INPUT!C426)</f>
        <v/>
      </c>
      <c r="C414" s="399" t="str">
        <f>IF(ISERROR((INPUT!D426-C413)/INPUT!D426),"",(INPUT!D426-C413)/INPUT!D426)</f>
        <v/>
      </c>
      <c r="D414" s="399" t="str">
        <f>IF(ISERROR((INPUT!E426-D413)/INPUT!E426),"",(INPUT!E426-D413)/INPUT!E426)</f>
        <v/>
      </c>
      <c r="E414" s="399" t="str">
        <f>IF(ISERROR((INPUT!F426-E413)/INPUT!F426),"",(INPUT!F426-E413)/INPUT!F426)</f>
        <v/>
      </c>
      <c r="F414" s="399" t="str">
        <f>IF(ISERROR((INPUT!G426-F413)/INPUT!G426),"",(INPUT!G426-F413)/INPUT!G426)</f>
        <v/>
      </c>
      <c r="G414" s="399" t="str">
        <f>IF(ISERROR((INPUT!H426-G413)/INPUT!H426),"",(INPUT!H426-G413)/INPUT!H426)</f>
        <v/>
      </c>
      <c r="H414" s="399" t="str">
        <f>IF(ISERROR((INPUT!I426-H413)/INPUT!I426),"",(INPUT!I426-H413)/INPUT!I426)</f>
        <v/>
      </c>
      <c r="I414" s="399" t="str">
        <f>IF(ISERROR((INPUT!J426-I413)/INPUT!J426),"",(INPUT!J426-I413)/INPUT!J426)</f>
        <v/>
      </c>
      <c r="J414" s="399" t="str">
        <f>IF(ISERROR((INPUT!K426-J413)/INPUT!K426),"",(INPUT!K426-J413)/INPUT!K426)</f>
        <v/>
      </c>
      <c r="K414" s="399" t="str">
        <f>IF(ISERROR((INPUT!L426-K413)/INPUT!L426),"",(INPUT!L426-K413)/INPUT!L426)</f>
        <v/>
      </c>
      <c r="L414" s="399" t="str">
        <f>IF(ISERROR((INPUT!M426-L413)/INPUT!M426),"",(INPUT!M426-L413)/INPUT!M426)</f>
        <v/>
      </c>
      <c r="M414" s="399" t="str">
        <f>IF(ISERROR((INPUT!N426-M413)/INPUT!N426),"",(INPUT!N426-M413)/INPUT!N426)</f>
        <v/>
      </c>
      <c r="N414" s="399" t="str">
        <f>IF(ISERROR((INPUT!O426-N413)/INPUT!O426),"",(INPUT!O426-N413)/INPUT!O426)</f>
        <v/>
      </c>
      <c r="O414" s="399" t="str">
        <f>IF(ISERROR((INPUT!P426-O413)/INPUT!P426),"",(INPUT!P426-O413)/INPUT!P426)</f>
        <v/>
      </c>
      <c r="P414" s="399" t="str">
        <f>IF(ISERROR((INPUT!Q426-P413)/INPUT!Q426),"",(INPUT!Q426-P413)/INPUT!Q426)</f>
        <v/>
      </c>
      <c r="Q414" s="399" t="str">
        <f>IF(ISERROR((INPUT!R426-Q413)/INPUT!R426),"",(INPUT!R426-Q413)/INPUT!R426)</f>
        <v/>
      </c>
      <c r="R414" s="399" t="str">
        <f>IF(ISERROR((INPUT!S426-R413)/INPUT!S426),"",(INPUT!S426-R413)/INPUT!S426)</f>
        <v/>
      </c>
      <c r="S414" s="399" t="str">
        <f>IF(ISERROR((INPUT!T426-S413)/INPUT!T426),"",(INPUT!T426-S413)/INPUT!T426)</f>
        <v/>
      </c>
      <c r="T414" s="399" t="str">
        <f>IF(ISERROR((INPUT!U426-T413)/INPUT!U426),"",(INPUT!U426-T413)/INPUT!U426)</f>
        <v/>
      </c>
      <c r="U414" s="399" t="str">
        <f>IF(ISERROR((INPUT!V426-U413)/INPUT!V426),"",(INPUT!V426-U413)/INPUT!V426)</f>
        <v/>
      </c>
      <c r="V414" s="622"/>
    </row>
    <row r="415" spans="1:22" s="75" customFormat="1" ht="12" hidden="1" customHeight="1" x14ac:dyDescent="0.2">
      <c r="A415" s="308" t="s">
        <v>890</v>
      </c>
      <c r="B415" s="290" t="str">
        <f>IF(ISERROR(ROUND(B271,2)),"",ROUND(B271,2))</f>
        <v/>
      </c>
      <c r="C415" s="290" t="str">
        <f>IF(ISERROR(ROUND(C271,2)),"",ROUND(C271,2))</f>
        <v/>
      </c>
      <c r="D415" s="290">
        <f t="shared" ref="D415:U415" si="152">IF(ISERROR(ROUND(D271,2)),"",ROUND(D271,2))</f>
        <v>9</v>
      </c>
      <c r="E415" s="290">
        <f t="shared" si="152"/>
        <v>1.7</v>
      </c>
      <c r="F415" s="290">
        <f t="shared" si="152"/>
        <v>3.6</v>
      </c>
      <c r="G415" s="290">
        <f t="shared" si="152"/>
        <v>4.6500000000000004</v>
      </c>
      <c r="H415" s="290">
        <f t="shared" si="152"/>
        <v>5.65</v>
      </c>
      <c r="I415" s="290">
        <f t="shared" si="152"/>
        <v>6.35</v>
      </c>
      <c r="J415" s="290">
        <f t="shared" si="152"/>
        <v>7.6</v>
      </c>
      <c r="K415" s="290">
        <f t="shared" si="152"/>
        <v>10.18</v>
      </c>
      <c r="L415" s="290">
        <f t="shared" si="152"/>
        <v>17.940000000000001</v>
      </c>
      <c r="M415" s="290" t="str">
        <f t="shared" si="152"/>
        <v/>
      </c>
      <c r="N415" s="290" t="str">
        <f t="shared" si="152"/>
        <v/>
      </c>
      <c r="O415" s="290" t="str">
        <f t="shared" si="152"/>
        <v/>
      </c>
      <c r="P415" s="290" t="str">
        <f t="shared" si="152"/>
        <v/>
      </c>
      <c r="Q415" s="290" t="str">
        <f t="shared" si="152"/>
        <v/>
      </c>
      <c r="R415" s="290" t="str">
        <f t="shared" si="152"/>
        <v/>
      </c>
      <c r="S415" s="290" t="str">
        <f t="shared" si="152"/>
        <v/>
      </c>
      <c r="T415" s="290" t="str">
        <f t="shared" si="152"/>
        <v/>
      </c>
      <c r="U415" s="290" t="str">
        <f t="shared" si="152"/>
        <v/>
      </c>
      <c r="V415" s="621"/>
    </row>
    <row r="416" spans="1:22" s="75" customFormat="1" ht="12" hidden="1" customHeight="1" x14ac:dyDescent="0.2">
      <c r="A416" s="309" t="s">
        <v>894</v>
      </c>
      <c r="B416" s="399" t="str">
        <f>IF(ISERROR(('CRA Validation'!B415-INPUT!C427)/INPUT!C427),"",('CRA Validation'!B415-INPUT!C427)/INPUT!C427)</f>
        <v/>
      </c>
      <c r="C416" s="399" t="str">
        <f>IF(ISERROR(('CRA Validation'!C415-INPUT!D427)/INPUT!D427),"",('CRA Validation'!C415-INPUT!D427)/INPUT!D427)</f>
        <v/>
      </c>
      <c r="D416" s="399" t="str">
        <f>IF(ISERROR(('CRA Validation'!D415-INPUT!E427)/INPUT!E427),"",('CRA Validation'!D415-INPUT!E427)/INPUT!E427)</f>
        <v/>
      </c>
      <c r="E416" s="399" t="str">
        <f>IF(ISERROR(('CRA Validation'!E415-INPUT!F427)/INPUT!F427),"",('CRA Validation'!E415-INPUT!F427)/INPUT!F427)</f>
        <v/>
      </c>
      <c r="F416" s="399" t="str">
        <f>IF(ISERROR(('CRA Validation'!F415-INPUT!G427)/INPUT!G427),"",('CRA Validation'!F415-INPUT!G427)/INPUT!G427)</f>
        <v/>
      </c>
      <c r="G416" s="399" t="str">
        <f>IF(ISERROR(('CRA Validation'!G415-INPUT!H427)/INPUT!H427),"",('CRA Validation'!G415-INPUT!H427)/INPUT!H427)</f>
        <v/>
      </c>
      <c r="H416" s="399" t="str">
        <f>IF(ISERROR(('CRA Validation'!H415-INPUT!I427)/INPUT!I427),"",('CRA Validation'!H415-INPUT!I427)/INPUT!I427)</f>
        <v/>
      </c>
      <c r="I416" s="399" t="str">
        <f>IF(ISERROR(('CRA Validation'!I415-INPUT!J427)/INPUT!J427),"",('CRA Validation'!I415-INPUT!J427)/INPUT!J427)</f>
        <v/>
      </c>
      <c r="J416" s="399" t="str">
        <f>IF(ISERROR(('CRA Validation'!J415-INPUT!K427)/INPUT!K427),"",('CRA Validation'!J415-INPUT!K427)/INPUT!K427)</f>
        <v/>
      </c>
      <c r="K416" s="399" t="str">
        <f>IF(ISERROR(('CRA Validation'!K415-INPUT!L427)/INPUT!L427),"",('CRA Validation'!K415-INPUT!L427)/INPUT!L427)</f>
        <v/>
      </c>
      <c r="L416" s="399" t="str">
        <f>IF(ISERROR(('CRA Validation'!L415-INPUT!M427)/INPUT!M427),"",('CRA Validation'!L415-INPUT!M427)/INPUT!M427)</f>
        <v/>
      </c>
      <c r="M416" s="399" t="str">
        <f>IF(ISERROR(('CRA Validation'!M415-INPUT!N427)/INPUT!N427),"",('CRA Validation'!M415-INPUT!N427)/INPUT!N427)</f>
        <v/>
      </c>
      <c r="N416" s="399" t="str">
        <f>IF(ISERROR(('CRA Validation'!N415-INPUT!O427)/INPUT!O427),"",('CRA Validation'!N415-INPUT!O427)/INPUT!O427)</f>
        <v/>
      </c>
      <c r="O416" s="399" t="str">
        <f>IF(ISERROR(('CRA Validation'!O415-INPUT!P427)/INPUT!P427),"",('CRA Validation'!O415-INPUT!P427)/INPUT!P427)</f>
        <v/>
      </c>
      <c r="P416" s="399" t="str">
        <f>IF(ISERROR(('CRA Validation'!P415-INPUT!Q427)/INPUT!Q427),"",('CRA Validation'!P415-INPUT!Q427)/INPUT!Q427)</f>
        <v/>
      </c>
      <c r="Q416" s="399" t="str">
        <f>IF(ISERROR(('CRA Validation'!Q415-INPUT!R427)/INPUT!R427),"",('CRA Validation'!Q415-INPUT!R427)/INPUT!R427)</f>
        <v/>
      </c>
      <c r="R416" s="399" t="str">
        <f>IF(ISERROR(('CRA Validation'!R415-INPUT!S427)/INPUT!S427),"",('CRA Validation'!R415-INPUT!S427)/INPUT!S427)</f>
        <v/>
      </c>
      <c r="S416" s="399" t="str">
        <f>IF(ISERROR(('CRA Validation'!S415-INPUT!T427)/INPUT!T427),"",('CRA Validation'!S415-INPUT!T427)/INPUT!T427)</f>
        <v/>
      </c>
      <c r="T416" s="399" t="str">
        <f>IF(ISERROR(('CRA Validation'!T415-INPUT!U427)/INPUT!U427),"",('CRA Validation'!T415-INPUT!U427)/INPUT!U427)</f>
        <v/>
      </c>
      <c r="U416" s="399" t="str">
        <f>IF(ISERROR(('CRA Validation'!U415-INPUT!V427)/INPUT!V427),"",('CRA Validation'!U415-INPUT!V427)/INPUT!V427)</f>
        <v/>
      </c>
      <c r="V416" s="621"/>
    </row>
    <row r="417" spans="1:22" s="300" customFormat="1" ht="12" hidden="1" customHeight="1" x14ac:dyDescent="0.2">
      <c r="A417" s="400" t="s">
        <v>27</v>
      </c>
      <c r="B417" s="290" t="str">
        <f>B438</f>
        <v/>
      </c>
      <c r="C417" s="290" t="str">
        <f>C438</f>
        <v/>
      </c>
      <c r="D417" s="290" t="str">
        <f t="shared" ref="D417:U417" si="153">D438</f>
        <v/>
      </c>
      <c r="E417" s="290" t="str">
        <f t="shared" si="153"/>
        <v/>
      </c>
      <c r="F417" s="290" t="str">
        <f t="shared" si="153"/>
        <v/>
      </c>
      <c r="G417" s="290" t="str">
        <f t="shared" si="153"/>
        <v/>
      </c>
      <c r="H417" s="290" t="str">
        <f t="shared" si="153"/>
        <v/>
      </c>
      <c r="I417" s="290" t="str">
        <f t="shared" si="153"/>
        <v/>
      </c>
      <c r="J417" s="290" t="str">
        <f t="shared" si="153"/>
        <v/>
      </c>
      <c r="K417" s="290" t="str">
        <f t="shared" si="153"/>
        <v/>
      </c>
      <c r="L417" s="290" t="str">
        <f t="shared" si="153"/>
        <v/>
      </c>
      <c r="M417" s="290" t="str">
        <f t="shared" si="153"/>
        <v/>
      </c>
      <c r="N417" s="290" t="str">
        <f t="shared" si="153"/>
        <v/>
      </c>
      <c r="O417" s="290" t="str">
        <f t="shared" si="153"/>
        <v/>
      </c>
      <c r="P417" s="290" t="str">
        <f t="shared" si="153"/>
        <v/>
      </c>
      <c r="Q417" s="290" t="str">
        <f t="shared" si="153"/>
        <v/>
      </c>
      <c r="R417" s="290" t="str">
        <f t="shared" si="153"/>
        <v/>
      </c>
      <c r="S417" s="290" t="str">
        <f t="shared" si="153"/>
        <v/>
      </c>
      <c r="T417" s="290" t="str">
        <f t="shared" si="153"/>
        <v/>
      </c>
      <c r="U417" s="290" t="str">
        <f t="shared" si="153"/>
        <v/>
      </c>
      <c r="V417" s="625"/>
    </row>
    <row r="418" spans="1:22" s="75" customFormat="1" ht="12" hidden="1" customHeight="1" x14ac:dyDescent="0.2">
      <c r="A418" s="309" t="s">
        <v>894</v>
      </c>
      <c r="B418" s="399" t="str">
        <f>IF(ISERROR(('CRA Validation'!B417-INPUT!C428)/INPUT!C428),"",('CRA Validation'!B417-INPUT!C428)/INPUT!C428)</f>
        <v/>
      </c>
      <c r="C418" s="399" t="str">
        <f>IF(ISERROR(('CRA Validation'!C417-INPUT!D428)/INPUT!D428),"",('CRA Validation'!C417-INPUT!D428)/INPUT!D428)</f>
        <v/>
      </c>
      <c r="D418" s="399" t="str">
        <f>IF(ISERROR(('CRA Validation'!D417-INPUT!E428)/INPUT!E428),"",('CRA Validation'!D417-INPUT!E428)/INPUT!E428)</f>
        <v/>
      </c>
      <c r="E418" s="399" t="str">
        <f>IF(ISERROR(('CRA Validation'!E417-INPUT!F428)/INPUT!F428),"",('CRA Validation'!E417-INPUT!F428)/INPUT!F428)</f>
        <v/>
      </c>
      <c r="F418" s="399" t="str">
        <f>IF(ISERROR(('CRA Validation'!F417-INPUT!G428)/INPUT!G428),"",('CRA Validation'!F417-INPUT!G428)/INPUT!G428)</f>
        <v/>
      </c>
      <c r="G418" s="399" t="str">
        <f>IF(ISERROR(('CRA Validation'!G417-INPUT!H428)/INPUT!H428),"",('CRA Validation'!G417-INPUT!H428)/INPUT!H428)</f>
        <v/>
      </c>
      <c r="H418" s="399" t="str">
        <f>IF(ISERROR(('CRA Validation'!H417-INPUT!I428)/INPUT!I428),"",('CRA Validation'!H417-INPUT!I428)/INPUT!I428)</f>
        <v/>
      </c>
      <c r="I418" s="399" t="str">
        <f>IF(ISERROR(('CRA Validation'!I417-INPUT!J428)/INPUT!J428),"",('CRA Validation'!I417-INPUT!J428)/INPUT!J428)</f>
        <v/>
      </c>
      <c r="J418" s="399" t="str">
        <f>IF(ISERROR(('CRA Validation'!J417-INPUT!K428)/INPUT!K428),"",('CRA Validation'!J417-INPUT!K428)/INPUT!K428)</f>
        <v/>
      </c>
      <c r="K418" s="399" t="str">
        <f>IF(ISERROR(('CRA Validation'!K417-INPUT!L428)/INPUT!L428),"",('CRA Validation'!K417-INPUT!L428)/INPUT!L428)</f>
        <v/>
      </c>
      <c r="L418" s="399" t="str">
        <f>IF(ISERROR(('CRA Validation'!L417-INPUT!M428)/INPUT!M428),"",('CRA Validation'!L417-INPUT!M428)/INPUT!M428)</f>
        <v/>
      </c>
      <c r="M418" s="399" t="str">
        <f>IF(ISERROR(('CRA Validation'!M417-INPUT!N428)/INPUT!N428),"",('CRA Validation'!M417-INPUT!N428)/INPUT!N428)</f>
        <v/>
      </c>
      <c r="N418" s="399" t="str">
        <f>IF(ISERROR(('CRA Validation'!N417-INPUT!O428)/INPUT!O428),"",('CRA Validation'!N417-INPUT!O428)/INPUT!O428)</f>
        <v/>
      </c>
      <c r="O418" s="399" t="str">
        <f>IF(ISERROR(('CRA Validation'!O417-INPUT!P428)/INPUT!P428),"",('CRA Validation'!O417-INPUT!P428)/INPUT!P428)</f>
        <v/>
      </c>
      <c r="P418" s="399" t="str">
        <f>IF(ISERROR(('CRA Validation'!P417-INPUT!Q428)/INPUT!Q428),"",('CRA Validation'!P417-INPUT!Q428)/INPUT!Q428)</f>
        <v/>
      </c>
      <c r="Q418" s="399" t="str">
        <f>IF(ISERROR(('CRA Validation'!Q417-INPUT!R428)/INPUT!R428),"",('CRA Validation'!Q417-INPUT!R428)/INPUT!R428)</f>
        <v/>
      </c>
      <c r="R418" s="399" t="str">
        <f>IF(ISERROR(('CRA Validation'!R417-INPUT!S428)/INPUT!S428),"",('CRA Validation'!R417-INPUT!S428)/INPUT!S428)</f>
        <v/>
      </c>
      <c r="S418" s="399" t="str">
        <f>IF(ISERROR(('CRA Validation'!S417-INPUT!T428)/INPUT!T428),"",('CRA Validation'!S417-INPUT!T428)/INPUT!T428)</f>
        <v/>
      </c>
      <c r="T418" s="399" t="str">
        <f>IF(ISERROR(('CRA Validation'!T417-INPUT!U428)/INPUT!U428),"",('CRA Validation'!T417-INPUT!U428)/INPUT!U428)</f>
        <v/>
      </c>
      <c r="U418" s="399" t="str">
        <f>IF(ISERROR(('CRA Validation'!U417-INPUT!V428)/INPUT!V428),"",('CRA Validation'!U417-INPUT!V428)/INPUT!V428)</f>
        <v/>
      </c>
      <c r="V418" s="621"/>
    </row>
    <row r="419" spans="1:22" s="75" customFormat="1" ht="12" hidden="1" customHeight="1" x14ac:dyDescent="0.2">
      <c r="A419" s="308" t="s">
        <v>891</v>
      </c>
      <c r="B419" s="290">
        <f>B291</f>
        <v>0</v>
      </c>
      <c r="C419" s="290">
        <f>C291</f>
        <v>0</v>
      </c>
      <c r="D419" s="290">
        <f t="shared" ref="D419:U419" si="154">D291</f>
        <v>0</v>
      </c>
      <c r="E419" s="290">
        <f t="shared" si="154"/>
        <v>0</v>
      </c>
      <c r="F419" s="290">
        <f t="shared" si="154"/>
        <v>0</v>
      </c>
      <c r="G419" s="290">
        <f t="shared" si="154"/>
        <v>0</v>
      </c>
      <c r="H419" s="290">
        <f t="shared" si="154"/>
        <v>0</v>
      </c>
      <c r="I419" s="290">
        <f t="shared" si="154"/>
        <v>0</v>
      </c>
      <c r="J419" s="290">
        <f t="shared" si="154"/>
        <v>0</v>
      </c>
      <c r="K419" s="290">
        <f t="shared" si="154"/>
        <v>0</v>
      </c>
      <c r="L419" s="290">
        <f t="shared" si="154"/>
        <v>0</v>
      </c>
      <c r="M419" s="290">
        <f t="shared" si="154"/>
        <v>0</v>
      </c>
      <c r="N419" s="290">
        <f t="shared" si="154"/>
        <v>0</v>
      </c>
      <c r="O419" s="290">
        <f t="shared" si="154"/>
        <v>0</v>
      </c>
      <c r="P419" s="290">
        <f t="shared" si="154"/>
        <v>0</v>
      </c>
      <c r="Q419" s="290">
        <f t="shared" si="154"/>
        <v>0</v>
      </c>
      <c r="R419" s="290">
        <f t="shared" si="154"/>
        <v>0</v>
      </c>
      <c r="S419" s="290">
        <f t="shared" si="154"/>
        <v>0</v>
      </c>
      <c r="T419" s="290">
        <f t="shared" si="154"/>
        <v>0</v>
      </c>
      <c r="U419" s="290">
        <f t="shared" si="154"/>
        <v>0</v>
      </c>
      <c r="V419" s="621"/>
    </row>
    <row r="420" spans="1:22" s="75" customFormat="1" ht="12" hidden="1" customHeight="1" x14ac:dyDescent="0.2">
      <c r="A420" s="309" t="s">
        <v>894</v>
      </c>
      <c r="B420" s="399" t="str">
        <f>IF(ISERROR(('CRA Validation'!B419-INPUT!C429)/INPUT!C429),"",('CRA Validation'!B419-INPUT!C429)/INPUT!C429)</f>
        <v/>
      </c>
      <c r="C420" s="399" t="str">
        <f>IF(ISERROR(('CRA Validation'!C419-INPUT!D429)/INPUT!D429),"",('CRA Validation'!C419-INPUT!D429)/INPUT!D429)</f>
        <v/>
      </c>
      <c r="D420" s="399" t="str">
        <f>IF(ISERROR(('CRA Validation'!D419-INPUT!E429)/INPUT!E429),"",('CRA Validation'!D419-INPUT!E429)/INPUT!E429)</f>
        <v/>
      </c>
      <c r="E420" s="399" t="str">
        <f>IF(ISERROR(('CRA Validation'!E419-INPUT!F429)/INPUT!F429),"",('CRA Validation'!E419-INPUT!F429)/INPUT!F429)</f>
        <v/>
      </c>
      <c r="F420" s="399" t="str">
        <f>IF(ISERROR(('CRA Validation'!F419-INPUT!G429)/INPUT!G429),"",('CRA Validation'!F419-INPUT!G429)/INPUT!G429)</f>
        <v/>
      </c>
      <c r="G420" s="399" t="str">
        <f>IF(ISERROR(('CRA Validation'!G419-INPUT!H429)/INPUT!H429),"",('CRA Validation'!G419-INPUT!H429)/INPUT!H429)</f>
        <v/>
      </c>
      <c r="H420" s="399" t="str">
        <f>IF(ISERROR(('CRA Validation'!H419-INPUT!I429)/INPUT!I429),"",('CRA Validation'!H419-INPUT!I429)/INPUT!I429)</f>
        <v/>
      </c>
      <c r="I420" s="399" t="str">
        <f>IF(ISERROR(('CRA Validation'!I419-INPUT!J429)/INPUT!J429),"",('CRA Validation'!I419-INPUT!J429)/INPUT!J429)</f>
        <v/>
      </c>
      <c r="J420" s="399" t="str">
        <f>IF(ISERROR(('CRA Validation'!J419-INPUT!K429)/INPUT!K429),"",('CRA Validation'!J419-INPUT!K429)/INPUT!K429)</f>
        <v/>
      </c>
      <c r="K420" s="399" t="str">
        <f>IF(ISERROR(('CRA Validation'!K419-INPUT!L429)/INPUT!L429),"",('CRA Validation'!K419-INPUT!L429)/INPUT!L429)</f>
        <v/>
      </c>
      <c r="L420" s="399" t="str">
        <f>IF(ISERROR(('CRA Validation'!L419-INPUT!M429)/INPUT!M429),"",('CRA Validation'!L419-INPUT!M429)/INPUT!M429)</f>
        <v/>
      </c>
      <c r="M420" s="399" t="str">
        <f>IF(ISERROR(('CRA Validation'!M419-INPUT!N429)/INPUT!N429),"",('CRA Validation'!M419-INPUT!N429)/INPUT!N429)</f>
        <v/>
      </c>
      <c r="N420" s="399" t="str">
        <f>IF(ISERROR(('CRA Validation'!N419-INPUT!O429)/INPUT!O429),"",('CRA Validation'!N419-INPUT!O429)/INPUT!O429)</f>
        <v/>
      </c>
      <c r="O420" s="399" t="str">
        <f>IF(ISERROR(('CRA Validation'!O419-INPUT!P429)/INPUT!P429),"",('CRA Validation'!O419-INPUT!P429)/INPUT!P429)</f>
        <v/>
      </c>
      <c r="P420" s="399" t="str">
        <f>IF(ISERROR(('CRA Validation'!P419-INPUT!Q429)/INPUT!Q429),"",('CRA Validation'!P419-INPUT!Q429)/INPUT!Q429)</f>
        <v/>
      </c>
      <c r="Q420" s="399" t="str">
        <f>IF(ISERROR(('CRA Validation'!Q419-INPUT!R429)/INPUT!R429),"",('CRA Validation'!Q419-INPUT!R429)/INPUT!R429)</f>
        <v/>
      </c>
      <c r="R420" s="399" t="str">
        <f>IF(ISERROR(('CRA Validation'!R419-INPUT!S429)/INPUT!S429),"",('CRA Validation'!R419-INPUT!S429)/INPUT!S429)</f>
        <v/>
      </c>
      <c r="S420" s="399" t="str">
        <f>IF(ISERROR(('CRA Validation'!S419-INPUT!T429)/INPUT!T429),"",('CRA Validation'!S419-INPUT!T429)/INPUT!T429)</f>
        <v/>
      </c>
      <c r="T420" s="399" t="str">
        <f>IF(ISERROR(('CRA Validation'!T419-INPUT!U429)/INPUT!U429),"",('CRA Validation'!T419-INPUT!U429)/INPUT!U429)</f>
        <v/>
      </c>
      <c r="U420" s="399" t="str">
        <f>IF(ISERROR(('CRA Validation'!U419-INPUT!V429)/INPUT!V429),"",('CRA Validation'!U419-INPUT!V429)/INPUT!V429)</f>
        <v/>
      </c>
      <c r="V420" s="621"/>
    </row>
    <row r="421" spans="1:22" ht="15.75" hidden="1" customHeight="1" x14ac:dyDescent="0.2">
      <c r="A421" s="402" t="s">
        <v>895</v>
      </c>
      <c r="B421" s="255"/>
      <c r="C421" s="255"/>
      <c r="D421" s="255"/>
      <c r="E421" s="255"/>
      <c r="F421" s="255"/>
      <c r="G421" s="255"/>
      <c r="H421" s="255"/>
      <c r="I421" s="255"/>
      <c r="J421" s="255"/>
      <c r="K421" s="255"/>
      <c r="L421" s="255"/>
      <c r="M421" s="255"/>
      <c r="N421" s="255"/>
      <c r="O421" s="255"/>
      <c r="P421" s="255"/>
      <c r="Q421" s="255"/>
      <c r="R421" s="255"/>
      <c r="S421" s="255"/>
      <c r="T421" s="255"/>
      <c r="U421" s="255"/>
      <c r="V421" s="612"/>
    </row>
    <row r="422" spans="1:22" ht="24.75" hidden="1" customHeight="1" x14ac:dyDescent="0.25">
      <c r="A422" s="259" t="s">
        <v>432</v>
      </c>
      <c r="B422" s="255"/>
      <c r="C422" s="255"/>
      <c r="D422" s="255"/>
      <c r="E422" s="255"/>
      <c r="F422" s="255"/>
      <c r="G422" s="255"/>
      <c r="H422" s="255"/>
      <c r="I422" s="255"/>
      <c r="J422" s="255"/>
      <c r="K422" s="255"/>
      <c r="L422" s="255"/>
      <c r="M422" s="255"/>
      <c r="N422" s="255"/>
      <c r="O422" s="255"/>
      <c r="P422" s="255"/>
      <c r="Q422" s="255"/>
      <c r="R422" s="255"/>
      <c r="S422" s="255"/>
      <c r="T422" s="255"/>
      <c r="U422" s="255"/>
      <c r="V422" s="612"/>
    </row>
    <row r="423" spans="1:22" ht="15" hidden="1" customHeight="1" x14ac:dyDescent="0.25">
      <c r="A423" s="260"/>
      <c r="B423" s="261">
        <f>B225</f>
        <v>2020</v>
      </c>
      <c r="C423" s="261">
        <f>C225</f>
        <v>2021</v>
      </c>
      <c r="D423" s="261">
        <f t="shared" ref="D423:U423" si="155">D225</f>
        <v>2022</v>
      </c>
      <c r="E423" s="261">
        <f t="shared" si="155"/>
        <v>2023</v>
      </c>
      <c r="F423" s="261">
        <f t="shared" si="155"/>
        <v>2024</v>
      </c>
      <c r="G423" s="261">
        <f t="shared" si="155"/>
        <v>2025</v>
      </c>
      <c r="H423" s="261">
        <f t="shared" si="155"/>
        <v>2026</v>
      </c>
      <c r="I423" s="261">
        <f t="shared" si="155"/>
        <v>2027</v>
      </c>
      <c r="J423" s="261">
        <f t="shared" si="155"/>
        <v>2028</v>
      </c>
      <c r="K423" s="261">
        <f t="shared" si="155"/>
        <v>2029</v>
      </c>
      <c r="L423" s="261">
        <f t="shared" si="155"/>
        <v>2030</v>
      </c>
      <c r="M423" s="261">
        <f t="shared" si="155"/>
        <v>2031</v>
      </c>
      <c r="N423" s="261">
        <f t="shared" si="155"/>
        <v>2032</v>
      </c>
      <c r="O423" s="261">
        <f t="shared" si="155"/>
        <v>2033</v>
      </c>
      <c r="P423" s="261">
        <f t="shared" si="155"/>
        <v>2034</v>
      </c>
      <c r="Q423" s="261">
        <f t="shared" si="155"/>
        <v>2035</v>
      </c>
      <c r="R423" s="261">
        <f t="shared" si="155"/>
        <v>2036</v>
      </c>
      <c r="S423" s="261">
        <f t="shared" si="155"/>
        <v>2037</v>
      </c>
      <c r="T423" s="261">
        <f t="shared" si="155"/>
        <v>2038</v>
      </c>
      <c r="U423" s="261">
        <f t="shared" si="155"/>
        <v>2039</v>
      </c>
      <c r="V423" s="612"/>
    </row>
    <row r="424" spans="1:22" ht="15" hidden="1" customHeight="1" x14ac:dyDescent="0.25">
      <c r="A424" s="260"/>
      <c r="B424" s="261" t="str">
        <f>B402</f>
        <v>AUD.</v>
      </c>
      <c r="C424" s="261" t="str">
        <f>C402</f>
        <v>AUD.</v>
      </c>
      <c r="D424" s="261" t="str">
        <f t="shared" ref="D424:U424" si="156">D402</f>
        <v>AUD.</v>
      </c>
      <c r="E424" s="261" t="str">
        <f t="shared" si="156"/>
        <v>EST.</v>
      </c>
      <c r="F424" s="261" t="str">
        <f t="shared" si="156"/>
        <v>PROJ.</v>
      </c>
      <c r="G424" s="261" t="str">
        <f t="shared" si="156"/>
        <v>PROJ.</v>
      </c>
      <c r="H424" s="261" t="str">
        <f t="shared" si="156"/>
        <v>PROJ.</v>
      </c>
      <c r="I424" s="261" t="str">
        <f t="shared" si="156"/>
        <v>PROJ.</v>
      </c>
      <c r="J424" s="261" t="str">
        <f t="shared" si="156"/>
        <v>PROJ.</v>
      </c>
      <c r="K424" s="261" t="str">
        <f t="shared" si="156"/>
        <v>PROJ.</v>
      </c>
      <c r="L424" s="261" t="str">
        <f t="shared" si="156"/>
        <v>PROJ.</v>
      </c>
      <c r="M424" s="261" t="str">
        <f t="shared" si="156"/>
        <v>PROJ.</v>
      </c>
      <c r="N424" s="261" t="str">
        <f t="shared" si="156"/>
        <v>PROJ.</v>
      </c>
      <c r="O424" s="261" t="str">
        <f t="shared" si="156"/>
        <v>PROJ.</v>
      </c>
      <c r="P424" s="261" t="str">
        <f t="shared" si="156"/>
        <v>PROJ.</v>
      </c>
      <c r="Q424" s="261" t="str">
        <f t="shared" si="156"/>
        <v>PROJ.</v>
      </c>
      <c r="R424" s="261" t="str">
        <f t="shared" si="156"/>
        <v>PROJ.</v>
      </c>
      <c r="S424" s="261" t="str">
        <f t="shared" si="156"/>
        <v>PROJ.</v>
      </c>
      <c r="T424" s="261" t="str">
        <f t="shared" si="156"/>
        <v>PROJ.</v>
      </c>
      <c r="U424" s="261" t="str">
        <f t="shared" si="156"/>
        <v>PROJ.</v>
      </c>
      <c r="V424" s="612"/>
    </row>
    <row r="425" spans="1:22" ht="14.25" hidden="1" customHeight="1" x14ac:dyDescent="0.2">
      <c r="A425" s="262" t="s">
        <v>20</v>
      </c>
      <c r="B425" s="256">
        <f t="shared" ref="B425:C427" si="157">B436</f>
        <v>2.5</v>
      </c>
      <c r="C425" s="256">
        <f t="shared" si="157"/>
        <v>1.59</v>
      </c>
      <c r="D425" s="256">
        <f t="shared" ref="D425:U425" si="158">D436</f>
        <v>10.02</v>
      </c>
      <c r="E425" s="256">
        <f t="shared" si="158"/>
        <v>0.77</v>
      </c>
      <c r="F425" s="256">
        <f t="shared" si="158"/>
        <v>1.38</v>
      </c>
      <c r="G425" s="256">
        <f t="shared" si="158"/>
        <v>1.2</v>
      </c>
      <c r="H425" s="256">
        <f t="shared" si="158"/>
        <v>0.97</v>
      </c>
      <c r="I425" s="256">
        <f t="shared" si="158"/>
        <v>0.72</v>
      </c>
      <c r="J425" s="256">
        <f t="shared" si="158"/>
        <v>0.51</v>
      </c>
      <c r="K425" s="256">
        <f t="shared" si="158"/>
        <v>0.33</v>
      </c>
      <c r="L425" s="256">
        <f t="shared" si="158"/>
        <v>0.15</v>
      </c>
      <c r="M425" s="256" t="str">
        <f t="shared" si="158"/>
        <v/>
      </c>
      <c r="N425" s="256" t="str">
        <f t="shared" si="158"/>
        <v/>
      </c>
      <c r="O425" s="256" t="str">
        <f t="shared" si="158"/>
        <v/>
      </c>
      <c r="P425" s="256" t="str">
        <f t="shared" si="158"/>
        <v/>
      </c>
      <c r="Q425" s="256" t="str">
        <f t="shared" si="158"/>
        <v/>
      </c>
      <c r="R425" s="256" t="str">
        <f t="shared" si="158"/>
        <v/>
      </c>
      <c r="S425" s="256" t="str">
        <f t="shared" si="158"/>
        <v/>
      </c>
      <c r="T425" s="256" t="str">
        <f t="shared" si="158"/>
        <v/>
      </c>
      <c r="U425" s="256" t="str">
        <f t="shared" si="158"/>
        <v/>
      </c>
      <c r="V425" s="612"/>
    </row>
    <row r="426" spans="1:22" ht="14.25" hidden="1" customHeight="1" x14ac:dyDescent="0.2">
      <c r="A426" s="262" t="s">
        <v>323</v>
      </c>
      <c r="B426" s="256">
        <f t="shared" si="157"/>
        <v>1.31</v>
      </c>
      <c r="C426" s="256">
        <f t="shared" si="157"/>
        <v>2.4700000000000002</v>
      </c>
      <c r="D426" s="256">
        <f t="shared" ref="D426:U426" si="159">D437</f>
        <v>0.55000000000000004</v>
      </c>
      <c r="E426" s="256">
        <f t="shared" si="159"/>
        <v>0.64</v>
      </c>
      <c r="F426" s="256">
        <f t="shared" si="159"/>
        <v>1.37</v>
      </c>
      <c r="G426" s="256">
        <f t="shared" si="159"/>
        <v>1.71</v>
      </c>
      <c r="H426" s="256">
        <f t="shared" si="159"/>
        <v>1.97</v>
      </c>
      <c r="I426" s="256">
        <f t="shared" si="159"/>
        <v>2.2400000000000002</v>
      </c>
      <c r="J426" s="256">
        <f t="shared" si="159"/>
        <v>2.4300000000000002</v>
      </c>
      <c r="K426" s="256">
        <f t="shared" si="159"/>
        <v>2.4300000000000002</v>
      </c>
      <c r="L426" s="256">
        <f t="shared" si="159"/>
        <v>4.78</v>
      </c>
      <c r="M426" s="256" t="str">
        <f t="shared" si="159"/>
        <v/>
      </c>
      <c r="N426" s="256" t="str">
        <f t="shared" si="159"/>
        <v/>
      </c>
      <c r="O426" s="256" t="str">
        <f t="shared" si="159"/>
        <v/>
      </c>
      <c r="P426" s="256" t="str">
        <f t="shared" si="159"/>
        <v/>
      </c>
      <c r="Q426" s="256" t="str">
        <f t="shared" si="159"/>
        <v/>
      </c>
      <c r="R426" s="256" t="str">
        <f t="shared" si="159"/>
        <v/>
      </c>
      <c r="S426" s="256" t="str">
        <f t="shared" si="159"/>
        <v/>
      </c>
      <c r="T426" s="256" t="str">
        <f t="shared" si="159"/>
        <v/>
      </c>
      <c r="U426" s="256" t="str">
        <f t="shared" si="159"/>
        <v/>
      </c>
      <c r="V426" s="612"/>
    </row>
    <row r="427" spans="1:22" ht="14.25" hidden="1" customHeight="1" x14ac:dyDescent="0.2">
      <c r="A427" s="262" t="s">
        <v>438</v>
      </c>
      <c r="B427" s="256" t="str">
        <f t="shared" si="157"/>
        <v/>
      </c>
      <c r="C427" s="256" t="str">
        <f t="shared" si="157"/>
        <v/>
      </c>
      <c r="D427" s="256" t="str">
        <f t="shared" ref="D427:U427" si="160">D438</f>
        <v/>
      </c>
      <c r="E427" s="256" t="str">
        <f t="shared" si="160"/>
        <v/>
      </c>
      <c r="F427" s="256" t="str">
        <f t="shared" si="160"/>
        <v/>
      </c>
      <c r="G427" s="256" t="str">
        <f t="shared" si="160"/>
        <v/>
      </c>
      <c r="H427" s="256" t="str">
        <f t="shared" si="160"/>
        <v/>
      </c>
      <c r="I427" s="256" t="str">
        <f t="shared" si="160"/>
        <v/>
      </c>
      <c r="J427" s="256" t="str">
        <f t="shared" si="160"/>
        <v/>
      </c>
      <c r="K427" s="256" t="str">
        <f t="shared" si="160"/>
        <v/>
      </c>
      <c r="L427" s="256" t="str">
        <f t="shared" si="160"/>
        <v/>
      </c>
      <c r="M427" s="256" t="str">
        <f t="shared" si="160"/>
        <v/>
      </c>
      <c r="N427" s="256" t="str">
        <f t="shared" si="160"/>
        <v/>
      </c>
      <c r="O427" s="256" t="str">
        <f t="shared" si="160"/>
        <v/>
      </c>
      <c r="P427" s="256" t="str">
        <f t="shared" si="160"/>
        <v/>
      </c>
      <c r="Q427" s="256" t="str">
        <f t="shared" si="160"/>
        <v/>
      </c>
      <c r="R427" s="256" t="str">
        <f t="shared" si="160"/>
        <v/>
      </c>
      <c r="S427" s="256" t="str">
        <f t="shared" si="160"/>
        <v/>
      </c>
      <c r="T427" s="256" t="str">
        <f t="shared" si="160"/>
        <v/>
      </c>
      <c r="U427" s="256" t="str">
        <f t="shared" si="160"/>
        <v/>
      </c>
      <c r="V427" s="612"/>
    </row>
    <row r="428" spans="1:22" ht="14.25" hidden="1" customHeight="1" x14ac:dyDescent="0.2">
      <c r="A428" s="262" t="s">
        <v>439</v>
      </c>
      <c r="B428" s="256" t="str">
        <f>B440</f>
        <v/>
      </c>
      <c r="C428" s="256" t="str">
        <f>C440</f>
        <v/>
      </c>
      <c r="D428" s="256">
        <f t="shared" ref="D428:U428" si="161">D440</f>
        <v>9</v>
      </c>
      <c r="E428" s="256">
        <f t="shared" si="161"/>
        <v>1.7</v>
      </c>
      <c r="F428" s="256">
        <f t="shared" si="161"/>
        <v>3.6</v>
      </c>
      <c r="G428" s="256">
        <f t="shared" si="161"/>
        <v>4.6500000000000004</v>
      </c>
      <c r="H428" s="256">
        <f t="shared" si="161"/>
        <v>5.65</v>
      </c>
      <c r="I428" s="256">
        <f t="shared" si="161"/>
        <v>6.35</v>
      </c>
      <c r="J428" s="256">
        <f t="shared" si="161"/>
        <v>7.6</v>
      </c>
      <c r="K428" s="256">
        <f t="shared" si="161"/>
        <v>10.18</v>
      </c>
      <c r="L428" s="256">
        <f t="shared" si="161"/>
        <v>17.940000000000001</v>
      </c>
      <c r="M428" s="256" t="str">
        <f t="shared" si="161"/>
        <v/>
      </c>
      <c r="N428" s="256" t="str">
        <f t="shared" si="161"/>
        <v/>
      </c>
      <c r="O428" s="256" t="str">
        <f t="shared" si="161"/>
        <v/>
      </c>
      <c r="P428" s="256" t="str">
        <f t="shared" si="161"/>
        <v/>
      </c>
      <c r="Q428" s="256" t="str">
        <f t="shared" si="161"/>
        <v/>
      </c>
      <c r="R428" s="256" t="str">
        <f t="shared" si="161"/>
        <v/>
      </c>
      <c r="S428" s="256" t="str">
        <f t="shared" si="161"/>
        <v/>
      </c>
      <c r="T428" s="256" t="str">
        <f t="shared" si="161"/>
        <v/>
      </c>
      <c r="U428" s="256" t="str">
        <f t="shared" si="161"/>
        <v/>
      </c>
      <c r="V428" s="612"/>
    </row>
    <row r="429" spans="1:22" ht="14.25" hidden="1" customHeight="1" x14ac:dyDescent="0.2">
      <c r="A429" s="262" t="s">
        <v>440</v>
      </c>
      <c r="B429" s="256">
        <f>B441</f>
        <v>8.75</v>
      </c>
      <c r="C429" s="256">
        <f>C441</f>
        <v>8.57</v>
      </c>
      <c r="D429" s="256">
        <f t="shared" ref="D429:U429" si="162">D441</f>
        <v>12.27</v>
      </c>
      <c r="E429" s="256">
        <f t="shared" si="162"/>
        <v>5.43</v>
      </c>
      <c r="F429" s="256">
        <f t="shared" si="162"/>
        <v>2.8</v>
      </c>
      <c r="G429" s="256">
        <f t="shared" si="162"/>
        <v>3.49</v>
      </c>
      <c r="H429" s="256">
        <f t="shared" si="162"/>
        <v>4.03</v>
      </c>
      <c r="I429" s="256">
        <f t="shared" si="162"/>
        <v>4.13</v>
      </c>
      <c r="J429" s="256">
        <f t="shared" si="162"/>
        <v>4.17</v>
      </c>
      <c r="K429" s="256">
        <f t="shared" si="162"/>
        <v>4.26</v>
      </c>
      <c r="L429" s="256">
        <f t="shared" si="162"/>
        <v>4.54</v>
      </c>
      <c r="M429" s="256" t="str">
        <f t="shared" si="162"/>
        <v/>
      </c>
      <c r="N429" s="256" t="str">
        <f t="shared" si="162"/>
        <v/>
      </c>
      <c r="O429" s="256" t="str">
        <f t="shared" si="162"/>
        <v/>
      </c>
      <c r="P429" s="256" t="str">
        <f t="shared" si="162"/>
        <v/>
      </c>
      <c r="Q429" s="256" t="str">
        <f t="shared" si="162"/>
        <v/>
      </c>
      <c r="R429" s="256" t="str">
        <f t="shared" si="162"/>
        <v/>
      </c>
      <c r="S429" s="256" t="str">
        <f t="shared" si="162"/>
        <v/>
      </c>
      <c r="T429" s="256" t="str">
        <f t="shared" si="162"/>
        <v/>
      </c>
      <c r="U429" s="256" t="str">
        <f t="shared" si="162"/>
        <v/>
      </c>
      <c r="V429" s="612"/>
    </row>
    <row r="430" spans="1:22" ht="42.75" hidden="1" customHeight="1" x14ac:dyDescent="0.2">
      <c r="A430" s="264" t="s">
        <v>441</v>
      </c>
      <c r="B430" s="256" t="str">
        <f>B443</f>
        <v/>
      </c>
      <c r="C430" s="256" t="str">
        <f>C443</f>
        <v/>
      </c>
      <c r="D430" s="256" t="str">
        <f t="shared" ref="D430:U430" si="163">D443</f>
        <v/>
      </c>
      <c r="E430" s="256" t="str">
        <f t="shared" si="163"/>
        <v/>
      </c>
      <c r="F430" s="256" t="str">
        <f t="shared" si="163"/>
        <v/>
      </c>
      <c r="G430" s="256" t="str">
        <f t="shared" si="163"/>
        <v/>
      </c>
      <c r="H430" s="256" t="str">
        <f t="shared" si="163"/>
        <v/>
      </c>
      <c r="I430" s="256" t="str">
        <f t="shared" si="163"/>
        <v/>
      </c>
      <c r="J430" s="256" t="str">
        <f t="shared" si="163"/>
        <v/>
      </c>
      <c r="K430" s="256" t="str">
        <f t="shared" si="163"/>
        <v/>
      </c>
      <c r="L430" s="256" t="str">
        <f t="shared" si="163"/>
        <v/>
      </c>
      <c r="M430" s="256" t="str">
        <f t="shared" si="163"/>
        <v/>
      </c>
      <c r="N430" s="256" t="str">
        <f t="shared" si="163"/>
        <v/>
      </c>
      <c r="O430" s="256" t="str">
        <f t="shared" si="163"/>
        <v/>
      </c>
      <c r="P430" s="256" t="str">
        <f t="shared" si="163"/>
        <v/>
      </c>
      <c r="Q430" s="256" t="str">
        <f t="shared" si="163"/>
        <v/>
      </c>
      <c r="R430" s="256" t="str">
        <f t="shared" si="163"/>
        <v/>
      </c>
      <c r="S430" s="256" t="str">
        <f t="shared" si="163"/>
        <v/>
      </c>
      <c r="T430" s="256" t="str">
        <f t="shared" si="163"/>
        <v/>
      </c>
      <c r="U430" s="256" t="str">
        <f t="shared" si="163"/>
        <v/>
      </c>
      <c r="V430" s="612"/>
    </row>
    <row r="431" spans="1:22" ht="14.25" hidden="1" customHeight="1" x14ac:dyDescent="0.2">
      <c r="A431" s="265" t="s">
        <v>50</v>
      </c>
      <c r="B431" s="256">
        <f>B444</f>
        <v>0.08</v>
      </c>
      <c r="C431" s="256">
        <f>C444</f>
        <v>0.17</v>
      </c>
      <c r="D431" s="256">
        <f t="shared" ref="D431:U431" si="164">D444</f>
        <v>0.44</v>
      </c>
      <c r="E431" s="256">
        <f t="shared" si="164"/>
        <v>8.57</v>
      </c>
      <c r="F431" s="256">
        <f t="shared" si="164"/>
        <v>11.25</v>
      </c>
      <c r="G431" s="256">
        <f t="shared" si="164"/>
        <v>12.46</v>
      </c>
      <c r="H431" s="256">
        <f t="shared" si="164"/>
        <v>14.11</v>
      </c>
      <c r="I431" s="256">
        <f t="shared" si="164"/>
        <v>15.95</v>
      </c>
      <c r="J431" s="256">
        <f t="shared" si="164"/>
        <v>17.97</v>
      </c>
      <c r="K431" s="256">
        <f t="shared" si="164"/>
        <v>20.190000000000001</v>
      </c>
      <c r="L431" s="256">
        <f t="shared" si="164"/>
        <v>22.74</v>
      </c>
      <c r="M431" s="256">
        <f t="shared" si="164"/>
        <v>12.62</v>
      </c>
      <c r="N431" s="256">
        <f t="shared" si="164"/>
        <v>12.62</v>
      </c>
      <c r="O431" s="256">
        <f t="shared" si="164"/>
        <v>12.62</v>
      </c>
      <c r="P431" s="256">
        <f t="shared" si="164"/>
        <v>12.62</v>
      </c>
      <c r="Q431" s="256">
        <f t="shared" si="164"/>
        <v>12.62</v>
      </c>
      <c r="R431" s="256">
        <f t="shared" si="164"/>
        <v>12.62</v>
      </c>
      <c r="S431" s="256">
        <f t="shared" si="164"/>
        <v>12.62</v>
      </c>
      <c r="T431" s="256">
        <f t="shared" si="164"/>
        <v>12.62</v>
      </c>
      <c r="U431" s="256">
        <f t="shared" si="164"/>
        <v>12.62</v>
      </c>
      <c r="V431" s="612"/>
    </row>
    <row r="432" spans="1:22" ht="14.25" hidden="1" customHeight="1" x14ac:dyDescent="0.2">
      <c r="A432" s="257"/>
      <c r="B432" s="255"/>
      <c r="C432" s="255"/>
      <c r="D432" s="255"/>
      <c r="E432" s="255"/>
      <c r="F432" s="255"/>
      <c r="G432" s="255"/>
      <c r="H432" s="255"/>
      <c r="I432" s="255"/>
      <c r="J432" s="255"/>
      <c r="K432" s="255"/>
      <c r="L432" s="255"/>
      <c r="M432" s="255"/>
      <c r="N432" s="255"/>
      <c r="O432" s="255"/>
      <c r="P432" s="255"/>
      <c r="Q432" s="255"/>
      <c r="R432" s="255"/>
      <c r="S432" s="255"/>
      <c r="T432" s="255"/>
      <c r="U432" s="255"/>
      <c r="V432" s="612"/>
    </row>
    <row r="433" spans="1:22" ht="15" hidden="1" customHeight="1" x14ac:dyDescent="0.25">
      <c r="A433" s="259" t="s">
        <v>433</v>
      </c>
      <c r="B433" s="255"/>
      <c r="C433" s="255"/>
      <c r="D433" s="255"/>
      <c r="E433" s="255"/>
      <c r="F433" s="255"/>
      <c r="G433" s="255"/>
      <c r="H433" s="255"/>
      <c r="I433" s="255"/>
      <c r="J433" s="255"/>
      <c r="K433" s="255"/>
      <c r="L433" s="255"/>
      <c r="M433" s="255"/>
      <c r="N433" s="255"/>
      <c r="O433" s="255"/>
      <c r="P433" s="255"/>
      <c r="Q433" s="255"/>
      <c r="R433" s="255"/>
      <c r="S433" s="255"/>
      <c r="T433" s="255"/>
      <c r="U433" s="255"/>
      <c r="V433" s="612"/>
    </row>
    <row r="434" spans="1:22" ht="15" hidden="1" customHeight="1" x14ac:dyDescent="0.25">
      <c r="A434" s="260"/>
      <c r="B434" s="261">
        <f>B225</f>
        <v>2020</v>
      </c>
      <c r="C434" s="261">
        <f>C225</f>
        <v>2021</v>
      </c>
      <c r="D434" s="261">
        <f t="shared" ref="D434:U434" si="165">D225</f>
        <v>2022</v>
      </c>
      <c r="E434" s="261">
        <f t="shared" si="165"/>
        <v>2023</v>
      </c>
      <c r="F434" s="261">
        <f t="shared" si="165"/>
        <v>2024</v>
      </c>
      <c r="G434" s="261">
        <f t="shared" si="165"/>
        <v>2025</v>
      </c>
      <c r="H434" s="261">
        <f t="shared" si="165"/>
        <v>2026</v>
      </c>
      <c r="I434" s="261">
        <f t="shared" si="165"/>
        <v>2027</v>
      </c>
      <c r="J434" s="261">
        <f t="shared" si="165"/>
        <v>2028</v>
      </c>
      <c r="K434" s="261">
        <f t="shared" si="165"/>
        <v>2029</v>
      </c>
      <c r="L434" s="261">
        <f t="shared" si="165"/>
        <v>2030</v>
      </c>
      <c r="M434" s="261">
        <f t="shared" si="165"/>
        <v>2031</v>
      </c>
      <c r="N434" s="261">
        <f t="shared" si="165"/>
        <v>2032</v>
      </c>
      <c r="O434" s="261">
        <f t="shared" si="165"/>
        <v>2033</v>
      </c>
      <c r="P434" s="261">
        <f t="shared" si="165"/>
        <v>2034</v>
      </c>
      <c r="Q434" s="261">
        <f t="shared" si="165"/>
        <v>2035</v>
      </c>
      <c r="R434" s="261">
        <f t="shared" si="165"/>
        <v>2036</v>
      </c>
      <c r="S434" s="261">
        <f t="shared" si="165"/>
        <v>2037</v>
      </c>
      <c r="T434" s="261">
        <f t="shared" si="165"/>
        <v>2038</v>
      </c>
      <c r="U434" s="261">
        <f t="shared" si="165"/>
        <v>2039</v>
      </c>
      <c r="V434" s="612"/>
    </row>
    <row r="435" spans="1:22" ht="15" hidden="1" customHeight="1" x14ac:dyDescent="0.25">
      <c r="A435" s="260"/>
      <c r="B435" s="261" t="str">
        <f>B424</f>
        <v>AUD.</v>
      </c>
      <c r="C435" s="261" t="str">
        <f>C424</f>
        <v>AUD.</v>
      </c>
      <c r="D435" s="261" t="str">
        <f t="shared" ref="D435:U435" si="166">D424</f>
        <v>AUD.</v>
      </c>
      <c r="E435" s="261" t="str">
        <f t="shared" si="166"/>
        <v>EST.</v>
      </c>
      <c r="F435" s="261" t="str">
        <f t="shared" si="166"/>
        <v>PROJ.</v>
      </c>
      <c r="G435" s="261" t="str">
        <f t="shared" si="166"/>
        <v>PROJ.</v>
      </c>
      <c r="H435" s="261" t="str">
        <f t="shared" si="166"/>
        <v>PROJ.</v>
      </c>
      <c r="I435" s="261" t="str">
        <f t="shared" si="166"/>
        <v>PROJ.</v>
      </c>
      <c r="J435" s="261" t="str">
        <f t="shared" si="166"/>
        <v>PROJ.</v>
      </c>
      <c r="K435" s="261" t="str">
        <f t="shared" si="166"/>
        <v>PROJ.</v>
      </c>
      <c r="L435" s="261" t="str">
        <f t="shared" si="166"/>
        <v>PROJ.</v>
      </c>
      <c r="M435" s="261" t="str">
        <f t="shared" si="166"/>
        <v>PROJ.</v>
      </c>
      <c r="N435" s="261" t="str">
        <f t="shared" si="166"/>
        <v>PROJ.</v>
      </c>
      <c r="O435" s="261" t="str">
        <f t="shared" si="166"/>
        <v>PROJ.</v>
      </c>
      <c r="P435" s="261" t="str">
        <f t="shared" si="166"/>
        <v>PROJ.</v>
      </c>
      <c r="Q435" s="261" t="str">
        <f t="shared" si="166"/>
        <v>PROJ.</v>
      </c>
      <c r="R435" s="261" t="str">
        <f t="shared" si="166"/>
        <v>PROJ.</v>
      </c>
      <c r="S435" s="261" t="str">
        <f t="shared" si="166"/>
        <v>PROJ.</v>
      </c>
      <c r="T435" s="261" t="str">
        <f t="shared" si="166"/>
        <v>PROJ.</v>
      </c>
      <c r="U435" s="261" t="str">
        <f t="shared" si="166"/>
        <v>PROJ.</v>
      </c>
      <c r="V435" s="612"/>
    </row>
    <row r="436" spans="1:22" ht="14.25" hidden="1" customHeight="1" x14ac:dyDescent="0.2">
      <c r="A436" s="262" t="s">
        <v>20</v>
      </c>
      <c r="B436" s="256">
        <f>IF(ISERROR(ROUND(B279,2)),"",ROUND(B279,2))</f>
        <v>2.5</v>
      </c>
      <c r="C436" s="256">
        <f>IF(ISERROR(ROUND(C279,2)),"",ROUND(C279,2))</f>
        <v>1.59</v>
      </c>
      <c r="D436" s="256">
        <f t="shared" ref="D436:U436" si="167">IF(ISERROR(ROUND(D279,2)),"",ROUND(D279,2))</f>
        <v>10.02</v>
      </c>
      <c r="E436" s="256">
        <f t="shared" si="167"/>
        <v>0.77</v>
      </c>
      <c r="F436" s="256">
        <f t="shared" si="167"/>
        <v>1.38</v>
      </c>
      <c r="G436" s="256">
        <f t="shared" si="167"/>
        <v>1.2</v>
      </c>
      <c r="H436" s="256">
        <f t="shared" si="167"/>
        <v>0.97</v>
      </c>
      <c r="I436" s="256">
        <f t="shared" si="167"/>
        <v>0.72</v>
      </c>
      <c r="J436" s="256">
        <f t="shared" si="167"/>
        <v>0.51</v>
      </c>
      <c r="K436" s="256">
        <f t="shared" si="167"/>
        <v>0.33</v>
      </c>
      <c r="L436" s="256">
        <f t="shared" si="167"/>
        <v>0.15</v>
      </c>
      <c r="M436" s="256" t="str">
        <f t="shared" si="167"/>
        <v/>
      </c>
      <c r="N436" s="256" t="str">
        <f t="shared" si="167"/>
        <v/>
      </c>
      <c r="O436" s="256" t="str">
        <f t="shared" si="167"/>
        <v/>
      </c>
      <c r="P436" s="256" t="str">
        <f t="shared" si="167"/>
        <v/>
      </c>
      <c r="Q436" s="256" t="str">
        <f t="shared" si="167"/>
        <v/>
      </c>
      <c r="R436" s="256" t="str">
        <f t="shared" si="167"/>
        <v/>
      </c>
      <c r="S436" s="256" t="str">
        <f t="shared" si="167"/>
        <v/>
      </c>
      <c r="T436" s="256" t="str">
        <f t="shared" si="167"/>
        <v/>
      </c>
      <c r="U436" s="256" t="str">
        <f t="shared" si="167"/>
        <v/>
      </c>
      <c r="V436" s="612"/>
    </row>
    <row r="437" spans="1:22" ht="14.25" hidden="1" customHeight="1" x14ac:dyDescent="0.2">
      <c r="A437" s="262" t="s">
        <v>323</v>
      </c>
      <c r="B437" s="256">
        <f>IF(ISERROR(ROUND(B283,2)),"",ROUND(B283,2))</f>
        <v>1.31</v>
      </c>
      <c r="C437" s="256">
        <f>IF(ISERROR(ROUND(C283,2)),"",ROUND(C283,2))</f>
        <v>2.4700000000000002</v>
      </c>
      <c r="D437" s="256">
        <f t="shared" ref="D437:U437" si="168">IF(ISERROR(ROUND(D283,2)),"",ROUND(D283,2))</f>
        <v>0.55000000000000004</v>
      </c>
      <c r="E437" s="256">
        <f t="shared" si="168"/>
        <v>0.64</v>
      </c>
      <c r="F437" s="256">
        <f t="shared" si="168"/>
        <v>1.37</v>
      </c>
      <c r="G437" s="256">
        <f t="shared" si="168"/>
        <v>1.71</v>
      </c>
      <c r="H437" s="256">
        <f t="shared" si="168"/>
        <v>1.97</v>
      </c>
      <c r="I437" s="256">
        <f t="shared" si="168"/>
        <v>2.2400000000000002</v>
      </c>
      <c r="J437" s="256">
        <f t="shared" si="168"/>
        <v>2.4300000000000002</v>
      </c>
      <c r="K437" s="256">
        <f t="shared" si="168"/>
        <v>2.4300000000000002</v>
      </c>
      <c r="L437" s="256">
        <f t="shared" si="168"/>
        <v>4.78</v>
      </c>
      <c r="M437" s="256" t="str">
        <f t="shared" si="168"/>
        <v/>
      </c>
      <c r="N437" s="256" t="str">
        <f t="shared" si="168"/>
        <v/>
      </c>
      <c r="O437" s="256" t="str">
        <f t="shared" si="168"/>
        <v/>
      </c>
      <c r="P437" s="256" t="str">
        <f t="shared" si="168"/>
        <v/>
      </c>
      <c r="Q437" s="256" t="str">
        <f t="shared" si="168"/>
        <v/>
      </c>
      <c r="R437" s="256" t="str">
        <f t="shared" si="168"/>
        <v/>
      </c>
      <c r="S437" s="256" t="str">
        <f t="shared" si="168"/>
        <v/>
      </c>
      <c r="T437" s="256" t="str">
        <f t="shared" si="168"/>
        <v/>
      </c>
      <c r="U437" s="256" t="str">
        <f t="shared" si="168"/>
        <v/>
      </c>
      <c r="V437" s="612"/>
    </row>
    <row r="438" spans="1:22" ht="14.25" hidden="1" customHeight="1" x14ac:dyDescent="0.2">
      <c r="A438" s="262" t="s">
        <v>438</v>
      </c>
      <c r="B438" s="256" t="str">
        <f>IF(ISERROR(B267/Asset!C318),"",IF(B267/Asset!C318=0,"",ROUND(B267/Asset!C318*100,2)))</f>
        <v/>
      </c>
      <c r="C438" s="256" t="str">
        <f>IF(ISERROR(C267/Asset!D318),"",IF(C267/Asset!D318=0,"",ROUND(C267/Asset!D318*100,2)))</f>
        <v/>
      </c>
      <c r="D438" s="256" t="str">
        <f>IF(ISERROR(D267/Asset!E318),"",IF(D267/Asset!E318=0,"",ROUND(D267/Asset!E318*100,2)))</f>
        <v/>
      </c>
      <c r="E438" s="256" t="str">
        <f>IF(ISERROR(E267/Asset!F318),"",IF(E267/Asset!F318=0,"",ROUND(E267/Asset!F318*100,2)))</f>
        <v/>
      </c>
      <c r="F438" s="256" t="str">
        <f>IF(ISERROR(F267/Asset!G318),"",IF(F267/Asset!G318=0,"",ROUND(F267/Asset!G318*100,2)))</f>
        <v/>
      </c>
      <c r="G438" s="256" t="str">
        <f>IF(ISERROR(G267/Asset!H318),"",IF(G267/Asset!H318=0,"",ROUND(G267/Asset!H318*100,2)))</f>
        <v/>
      </c>
      <c r="H438" s="256" t="str">
        <f>IF(ISERROR(H267/Asset!I318),"",IF(H267/Asset!I318=0,"",ROUND(H267/Asset!I318*100,2)))</f>
        <v/>
      </c>
      <c r="I438" s="256" t="str">
        <f>IF(ISERROR(I267/Asset!J318),"",IF(I267/Asset!J318=0,"",ROUND(I267/Asset!J318*100,2)))</f>
        <v/>
      </c>
      <c r="J438" s="256" t="str">
        <f>IF(ISERROR(J267/Asset!K318),"",IF(J267/Asset!K318=0,"",ROUND(J267/Asset!K318*100,2)))</f>
        <v/>
      </c>
      <c r="K438" s="256" t="str">
        <f>IF(ISERROR(K267/Asset!L318),"",IF(K267/Asset!L318=0,"",ROUND(K267/Asset!L318*100,2)))</f>
        <v/>
      </c>
      <c r="L438" s="256" t="str">
        <f>IF(ISERROR(L267/Asset!M318),"",IF(L267/Asset!M318=0,"",ROUND(L267/Asset!M318*100,2)))</f>
        <v/>
      </c>
      <c r="M438" s="256" t="str">
        <f>IF(ISERROR(M267/Asset!N318),"",IF(M267/Asset!N318=0,"",ROUND(M267/Asset!N318*100,2)))</f>
        <v/>
      </c>
      <c r="N438" s="256" t="str">
        <f>IF(ISERROR(N267/Asset!O318),"",IF(N267/Asset!O318=0,"",ROUND(N267/Asset!O318*100,2)))</f>
        <v/>
      </c>
      <c r="O438" s="256" t="str">
        <f>IF(ISERROR(O267/Asset!P318),"",IF(O267/Asset!P318=0,"",ROUND(O267/Asset!P318*100,2)))</f>
        <v/>
      </c>
      <c r="P438" s="256" t="str">
        <f>IF(ISERROR(P267/Asset!Q318),"",IF(P267/Asset!Q318=0,"",ROUND(P267/Asset!Q318*100,2)))</f>
        <v/>
      </c>
      <c r="Q438" s="256" t="str">
        <f>IF(ISERROR(Q267/Asset!R318),"",IF(Q267/Asset!R318=0,"",ROUND(Q267/Asset!R318*100,2)))</f>
        <v/>
      </c>
      <c r="R438" s="256" t="str">
        <f>IF(ISERROR(R267/Asset!S318),"",IF(R267/Asset!S318=0,"",ROUND(R267/Asset!S318*100,2)))</f>
        <v/>
      </c>
      <c r="S438" s="256" t="str">
        <f>IF(ISERROR(S267/Asset!T318),"",IF(S267/Asset!T318=0,"",ROUND(S267/Asset!T318*100,2)))</f>
        <v/>
      </c>
      <c r="T438" s="256" t="str">
        <f>IF(ISERROR(T267/Asset!U318),"",IF(T267/Asset!U318=0,"",ROUND(T267/Asset!U318*100,2)))</f>
        <v/>
      </c>
      <c r="U438" s="256" t="str">
        <f>IF(ISERROR(U267/Asset!V318),"",IF(U267/Asset!V318=0,"",ROUND(U267/Asset!V318*100,2)))</f>
        <v/>
      </c>
      <c r="V438" s="612"/>
    </row>
    <row r="439" spans="1:22" ht="14.25" hidden="1" customHeight="1" x14ac:dyDescent="0.2">
      <c r="A439" s="262" t="s">
        <v>764</v>
      </c>
      <c r="B439" s="256" t="str">
        <f>IF(ISERROR(('Oper.St.'!C320-'Oper.St.'!C325)/Asset!C318),"",IF(('Oper.St.'!C320-'Oper.St.'!C325)/Asset!C318=0,"",ROUND(('Oper.St.'!C320-'Oper.St.'!C325)/Asset!C318*100,2)))</f>
        <v/>
      </c>
      <c r="C439" s="256" t="str">
        <f>IF(ISERROR(('Oper.St.'!D320-'Oper.St.'!D325)/Asset!D318),"",IF(('Oper.St.'!D320-'Oper.St.'!D325)/Asset!D318=0,"",ROUND(('Oper.St.'!D320-'Oper.St.'!D325)/Asset!D318*100,2)))</f>
        <v/>
      </c>
      <c r="D439" s="256" t="str">
        <f>IF(ISERROR(('Oper.St.'!E320-'Oper.St.'!E325)/Asset!E318),"",IF(('Oper.St.'!E320-'Oper.St.'!E325)/Asset!E318=0,"",ROUND(('Oper.St.'!E320-'Oper.St.'!E325)/Asset!E318*100,2)))</f>
        <v/>
      </c>
      <c r="E439" s="256" t="str">
        <f>IF(ISERROR(('Oper.St.'!F320-'Oper.St.'!F325)/Asset!F318),"",IF(('Oper.St.'!F320-'Oper.St.'!F325)/Asset!F318=0,"",ROUND(('Oper.St.'!F320-'Oper.St.'!F325)/Asset!F318*100,2)))</f>
        <v/>
      </c>
      <c r="F439" s="256" t="str">
        <f>IF(ISERROR(('Oper.St.'!G320-'Oper.St.'!G325)/Asset!G318),"",IF(('Oper.St.'!G320-'Oper.St.'!G325)/Asset!G318=0,"",ROUND(('Oper.St.'!G320-'Oper.St.'!G325)/Asset!G318*100,2)))</f>
        <v/>
      </c>
      <c r="G439" s="256" t="str">
        <f>IF(ISERROR(('Oper.St.'!H320-'Oper.St.'!H325)/Asset!H318),"",IF(('Oper.St.'!H320-'Oper.St.'!H325)/Asset!H318=0,"",ROUND(('Oper.St.'!H320-'Oper.St.'!H325)/Asset!H318*100,2)))</f>
        <v/>
      </c>
      <c r="H439" s="256" t="str">
        <f>IF(ISERROR(('Oper.St.'!I320-'Oper.St.'!I325)/Asset!I318),"",IF(('Oper.St.'!I320-'Oper.St.'!I325)/Asset!I318=0,"",ROUND(('Oper.St.'!I320-'Oper.St.'!I325)/Asset!I318*100,2)))</f>
        <v/>
      </c>
      <c r="I439" s="256" t="str">
        <f>IF(ISERROR(('Oper.St.'!J320-'Oper.St.'!J325)/Asset!J318),"",IF(('Oper.St.'!J320-'Oper.St.'!J325)/Asset!J318=0,"",ROUND(('Oper.St.'!J320-'Oper.St.'!J325)/Asset!J318*100,2)))</f>
        <v/>
      </c>
      <c r="J439" s="256" t="str">
        <f>IF(ISERROR(('Oper.St.'!K320-'Oper.St.'!K325)/Asset!K318),"",IF(('Oper.St.'!K320-'Oper.St.'!K325)/Asset!K318=0,"",ROUND(('Oper.St.'!K320-'Oper.St.'!K325)/Asset!K318*100,2)))</f>
        <v/>
      </c>
      <c r="K439" s="256" t="str">
        <f>IF(ISERROR(('Oper.St.'!L320-'Oper.St.'!L325)/Asset!L318),"",IF(('Oper.St.'!L320-'Oper.St.'!L325)/Asset!L318=0,"",ROUND(('Oper.St.'!L320-'Oper.St.'!L325)/Asset!L318*100,2)))</f>
        <v/>
      </c>
      <c r="L439" s="256" t="str">
        <f>IF(ISERROR(('Oper.St.'!M320-'Oper.St.'!M325)/Asset!M318),"",IF(('Oper.St.'!M320-'Oper.St.'!M325)/Asset!M318=0,"",ROUND(('Oper.St.'!M320-'Oper.St.'!M325)/Asset!M318*100,2)))</f>
        <v/>
      </c>
      <c r="M439" s="256" t="str">
        <f>IF(ISERROR(('Oper.St.'!N320-'Oper.St.'!N325)/Asset!N318),"",IF(('Oper.St.'!N320-'Oper.St.'!N325)/Asset!N318=0,"",ROUND(('Oper.St.'!N320-'Oper.St.'!N325)/Asset!N318*100,2)))</f>
        <v/>
      </c>
      <c r="N439" s="256" t="str">
        <f>IF(ISERROR(('Oper.St.'!O320-'Oper.St.'!O325)/Asset!O318),"",IF(('Oper.St.'!O320-'Oper.St.'!O325)/Asset!O318=0,"",ROUND(('Oper.St.'!O320-'Oper.St.'!O325)/Asset!O318*100,2)))</f>
        <v/>
      </c>
      <c r="O439" s="256" t="str">
        <f>IF(ISERROR(('Oper.St.'!P320-'Oper.St.'!P325)/Asset!P318),"",IF(('Oper.St.'!P320-'Oper.St.'!P325)/Asset!P318=0,"",ROUND(('Oper.St.'!P320-'Oper.St.'!P325)/Asset!P318*100,2)))</f>
        <v/>
      </c>
      <c r="P439" s="256" t="str">
        <f>IF(ISERROR(('Oper.St.'!Q320-'Oper.St.'!Q325)/Asset!Q318),"",IF(('Oper.St.'!Q320-'Oper.St.'!Q325)/Asset!Q318=0,"",ROUND(('Oper.St.'!Q320-'Oper.St.'!Q325)/Asset!Q318*100,2)))</f>
        <v/>
      </c>
      <c r="Q439" s="256" t="str">
        <f>IF(ISERROR(('Oper.St.'!R320-'Oper.St.'!R325)/Asset!R318),"",IF(('Oper.St.'!R320-'Oper.St.'!R325)/Asset!R318=0,"",ROUND(('Oper.St.'!R320-'Oper.St.'!R325)/Asset!R318*100,2)))</f>
        <v/>
      </c>
      <c r="R439" s="256" t="str">
        <f>IF(ISERROR(('Oper.St.'!S320-'Oper.St.'!S325)/Asset!S318),"",IF(('Oper.St.'!S320-'Oper.St.'!S325)/Asset!S318=0,"",ROUND(('Oper.St.'!S320-'Oper.St.'!S325)/Asset!S318*100,2)))</f>
        <v/>
      </c>
      <c r="S439" s="256" t="str">
        <f>IF(ISERROR(('Oper.St.'!T320-'Oper.St.'!T325)/Asset!T318),"",IF(('Oper.St.'!T320-'Oper.St.'!T325)/Asset!T318=0,"",ROUND(('Oper.St.'!T320-'Oper.St.'!T325)/Asset!T318*100,2)))</f>
        <v/>
      </c>
      <c r="T439" s="256" t="str">
        <f>IF(ISERROR(('Oper.St.'!U320-'Oper.St.'!U325)/Asset!U318),"",IF(('Oper.St.'!U320-'Oper.St.'!U325)/Asset!U318=0,"",ROUND(('Oper.St.'!U320-'Oper.St.'!U325)/Asset!U318*100,2)))</f>
        <v/>
      </c>
      <c r="U439" s="256" t="str">
        <f>IF(ISERROR(('Oper.St.'!V320-'Oper.St.'!V325)/Asset!V318),"",IF(('Oper.St.'!V320-'Oper.St.'!V325)/Asset!V318=0,"",ROUND(('Oper.St.'!V320-'Oper.St.'!V325)/Asset!V318*100,2)))</f>
        <v/>
      </c>
      <c r="V439" s="612"/>
    </row>
    <row r="440" spans="1:22" ht="14.25" hidden="1" customHeight="1" x14ac:dyDescent="0.2">
      <c r="A440" s="262" t="s">
        <v>439</v>
      </c>
      <c r="B440" s="256" t="str">
        <f>IF(ISERROR(B267/B245),"",IF(B267/B245=0,"",ROUND(B267/B245,2)))</f>
        <v/>
      </c>
      <c r="C440" s="256" t="str">
        <f>IF(ISERROR(C267/C245),"",IF(C267/C245=0,"",ROUND(C267/C245,2)))</f>
        <v/>
      </c>
      <c r="D440" s="256">
        <f t="shared" ref="D440:U440" si="169">IF(ISERROR(D267/D245),"",IF(D267/D245=0,"",ROUND(D267/D245,2)))</f>
        <v>9</v>
      </c>
      <c r="E440" s="256">
        <f t="shared" si="169"/>
        <v>1.7</v>
      </c>
      <c r="F440" s="256">
        <f t="shared" si="169"/>
        <v>3.6</v>
      </c>
      <c r="G440" s="256">
        <f t="shared" si="169"/>
        <v>4.6500000000000004</v>
      </c>
      <c r="H440" s="256">
        <f t="shared" si="169"/>
        <v>5.65</v>
      </c>
      <c r="I440" s="256">
        <f t="shared" si="169"/>
        <v>6.35</v>
      </c>
      <c r="J440" s="256">
        <f t="shared" si="169"/>
        <v>7.6</v>
      </c>
      <c r="K440" s="256">
        <f t="shared" si="169"/>
        <v>10.18</v>
      </c>
      <c r="L440" s="256">
        <f t="shared" si="169"/>
        <v>17.940000000000001</v>
      </c>
      <c r="M440" s="256" t="str">
        <f t="shared" si="169"/>
        <v/>
      </c>
      <c r="N440" s="256" t="str">
        <f t="shared" si="169"/>
        <v/>
      </c>
      <c r="O440" s="256" t="str">
        <f t="shared" si="169"/>
        <v/>
      </c>
      <c r="P440" s="256" t="str">
        <f t="shared" si="169"/>
        <v/>
      </c>
      <c r="Q440" s="256" t="str">
        <f t="shared" si="169"/>
        <v/>
      </c>
      <c r="R440" s="256" t="str">
        <f t="shared" si="169"/>
        <v/>
      </c>
      <c r="S440" s="256" t="str">
        <f t="shared" si="169"/>
        <v/>
      </c>
      <c r="T440" s="256" t="str">
        <f t="shared" si="169"/>
        <v/>
      </c>
      <c r="U440" s="256" t="str">
        <f t="shared" si="169"/>
        <v/>
      </c>
      <c r="V440" s="612"/>
    </row>
    <row r="441" spans="1:22" ht="14.25" hidden="1" customHeight="1" x14ac:dyDescent="0.2">
      <c r="A441" s="262" t="s">
        <v>440</v>
      </c>
      <c r="B441" s="256">
        <f>IF(ISERROR(B255/B229),"",IF(B255/B229=0,"",ROUND(B255/B229*100,2)))</f>
        <v>8.75</v>
      </c>
      <c r="C441" s="256">
        <f>IF(ISERROR(C255/C229),"",IF(C255/C229=0,"",ROUND(C255/C229*100,2)))</f>
        <v>8.57</v>
      </c>
      <c r="D441" s="256">
        <f t="shared" ref="D441:U441" si="170">IF(ISERROR(D255/D229),"",IF(D255/D229=0,"",ROUND(D255/D229*100,2)))</f>
        <v>12.27</v>
      </c>
      <c r="E441" s="256">
        <f t="shared" si="170"/>
        <v>5.43</v>
      </c>
      <c r="F441" s="256">
        <f t="shared" si="170"/>
        <v>2.8</v>
      </c>
      <c r="G441" s="256">
        <f t="shared" si="170"/>
        <v>3.49</v>
      </c>
      <c r="H441" s="256">
        <f t="shared" si="170"/>
        <v>4.03</v>
      </c>
      <c r="I441" s="256">
        <f t="shared" si="170"/>
        <v>4.13</v>
      </c>
      <c r="J441" s="256">
        <f t="shared" si="170"/>
        <v>4.17</v>
      </c>
      <c r="K441" s="256">
        <f t="shared" si="170"/>
        <v>4.26</v>
      </c>
      <c r="L441" s="256">
        <f t="shared" si="170"/>
        <v>4.54</v>
      </c>
      <c r="M441" s="256" t="str">
        <f t="shared" si="170"/>
        <v/>
      </c>
      <c r="N441" s="256" t="str">
        <f t="shared" si="170"/>
        <v/>
      </c>
      <c r="O441" s="256" t="str">
        <f t="shared" si="170"/>
        <v/>
      </c>
      <c r="P441" s="256" t="str">
        <f t="shared" si="170"/>
        <v/>
      </c>
      <c r="Q441" s="256" t="str">
        <f t="shared" si="170"/>
        <v/>
      </c>
      <c r="R441" s="256" t="str">
        <f t="shared" si="170"/>
        <v/>
      </c>
      <c r="S441" s="256" t="str">
        <f t="shared" si="170"/>
        <v/>
      </c>
      <c r="T441" s="256" t="str">
        <f t="shared" si="170"/>
        <v/>
      </c>
      <c r="U441" s="256" t="str">
        <f t="shared" si="170"/>
        <v/>
      </c>
      <c r="V441" s="612"/>
    </row>
    <row r="442" spans="1:22" ht="28.5" hidden="1" customHeight="1" x14ac:dyDescent="0.2">
      <c r="A442" s="263" t="s">
        <v>442</v>
      </c>
      <c r="B442" s="256" t="str">
        <f>IF(ISERROR(('Oper.St.'!C320-'Oper.St.'!C325+'Oper.St.'!C272)/Liab!C305),"",IF(('Oper.St.'!C320-'Oper.St.'!C325+'Oper.St.'!C272)/Liab!C305=0,"",ROUND(('Oper.St.'!C320-'Oper.St.'!C325+'Oper.St.'!C272)/Liab!C305*100,2)))</f>
        <v/>
      </c>
      <c r="C442" s="256" t="str">
        <f>IF(ISERROR(('Oper.St.'!D320-'Oper.St.'!D325+'Oper.St.'!D272)/Liab!D305),"",IF(('Oper.St.'!D320-'Oper.St.'!D325+'Oper.St.'!D272)/Liab!D305=0,"",ROUND(('Oper.St.'!D320-'Oper.St.'!D325+'Oper.St.'!D272)/Liab!D305*100,2)))</f>
        <v/>
      </c>
      <c r="D442" s="256" t="str">
        <f>IF(ISERROR(('Oper.St.'!E320-'Oper.St.'!E325+'Oper.St.'!E272)/Liab!E305),"",IF(('Oper.St.'!E320-'Oper.St.'!E325+'Oper.St.'!E272)/Liab!E305=0,"",ROUND(('Oper.St.'!E320-'Oper.St.'!E325+'Oper.St.'!E272)/Liab!E305*100,2)))</f>
        <v/>
      </c>
      <c r="E442" s="256" t="str">
        <f>IF(ISERROR(('Oper.St.'!F320-'Oper.St.'!F325+'Oper.St.'!F272)/Liab!F305),"",IF(('Oper.St.'!F320-'Oper.St.'!F325+'Oper.St.'!F272)/Liab!F305=0,"",ROUND(('Oper.St.'!F320-'Oper.St.'!F325+'Oper.St.'!F272)/Liab!F305*100,2)))</f>
        <v/>
      </c>
      <c r="F442" s="256" t="str">
        <f>IF(ISERROR(('Oper.St.'!G320-'Oper.St.'!G325+'Oper.St.'!G272)/Liab!G305),"",IF(('Oper.St.'!G320-'Oper.St.'!G325+'Oper.St.'!G272)/Liab!G305=0,"",ROUND(('Oper.St.'!G320-'Oper.St.'!G325+'Oper.St.'!G272)/Liab!G305*100,2)))</f>
        <v/>
      </c>
      <c r="G442" s="256" t="str">
        <f>IF(ISERROR(('Oper.St.'!H320-'Oper.St.'!H325+'Oper.St.'!H272)/Liab!H305),"",IF(('Oper.St.'!H320-'Oper.St.'!H325+'Oper.St.'!H272)/Liab!H305=0,"",ROUND(('Oper.St.'!H320-'Oper.St.'!H325+'Oper.St.'!H272)/Liab!H305*100,2)))</f>
        <v/>
      </c>
      <c r="H442" s="256" t="str">
        <f>IF(ISERROR(('Oper.St.'!I320-'Oper.St.'!I325+'Oper.St.'!I272)/Liab!I305),"",IF(('Oper.St.'!I320-'Oper.St.'!I325+'Oper.St.'!I272)/Liab!I305=0,"",ROUND(('Oper.St.'!I320-'Oper.St.'!I325+'Oper.St.'!I272)/Liab!I305*100,2)))</f>
        <v/>
      </c>
      <c r="I442" s="256" t="str">
        <f>IF(ISERROR(('Oper.St.'!J320-'Oper.St.'!J325+'Oper.St.'!J272)/Liab!J305),"",IF(('Oper.St.'!J320-'Oper.St.'!J325+'Oper.St.'!J272)/Liab!J305=0,"",ROUND(('Oper.St.'!J320-'Oper.St.'!J325+'Oper.St.'!J272)/Liab!J305*100,2)))</f>
        <v/>
      </c>
      <c r="J442" s="256" t="str">
        <f>IF(ISERROR(('Oper.St.'!K320-'Oper.St.'!K325+'Oper.St.'!K272)/Liab!K305),"",IF(('Oper.St.'!K320-'Oper.St.'!K325+'Oper.St.'!K272)/Liab!K305=0,"",ROUND(('Oper.St.'!K320-'Oper.St.'!K325+'Oper.St.'!K272)/Liab!K305*100,2)))</f>
        <v/>
      </c>
      <c r="K442" s="256" t="str">
        <f>IF(ISERROR(('Oper.St.'!L320-'Oper.St.'!L325+'Oper.St.'!L272)/Liab!L305),"",IF(('Oper.St.'!L320-'Oper.St.'!L325+'Oper.St.'!L272)/Liab!L305=0,"",ROUND(('Oper.St.'!L320-'Oper.St.'!L325+'Oper.St.'!L272)/Liab!L305*100,2)))</f>
        <v/>
      </c>
      <c r="L442" s="256" t="str">
        <f>IF(ISERROR(('Oper.St.'!M320-'Oper.St.'!M325+'Oper.St.'!M272)/Liab!M305),"",IF(('Oper.St.'!M320-'Oper.St.'!M325+'Oper.St.'!M272)/Liab!M305=0,"",ROUND(('Oper.St.'!M320-'Oper.St.'!M325+'Oper.St.'!M272)/Liab!M305*100,2)))</f>
        <v/>
      </c>
      <c r="M442" s="256" t="str">
        <f>IF(ISERROR(('Oper.St.'!N320-'Oper.St.'!N325+'Oper.St.'!N272)/Liab!N305),"",IF(('Oper.St.'!N320-'Oper.St.'!N325+'Oper.St.'!N272)/Liab!N305=0,"",ROUND(('Oper.St.'!N320-'Oper.St.'!N325+'Oper.St.'!N272)/Liab!N305*100,2)))</f>
        <v/>
      </c>
      <c r="N442" s="256" t="str">
        <f>IF(ISERROR(('Oper.St.'!O320-'Oper.St.'!O325+'Oper.St.'!O272)/Liab!O305),"",IF(('Oper.St.'!O320-'Oper.St.'!O325+'Oper.St.'!O272)/Liab!O305=0,"",ROUND(('Oper.St.'!O320-'Oper.St.'!O325+'Oper.St.'!O272)/Liab!O305*100,2)))</f>
        <v/>
      </c>
      <c r="O442" s="256" t="str">
        <f>IF(ISERROR(('Oper.St.'!P320-'Oper.St.'!P325+'Oper.St.'!P272)/Liab!P305),"",IF(('Oper.St.'!P320-'Oper.St.'!P325+'Oper.St.'!P272)/Liab!P305=0,"",ROUND(('Oper.St.'!P320-'Oper.St.'!P325+'Oper.St.'!P272)/Liab!P305*100,2)))</f>
        <v/>
      </c>
      <c r="P442" s="256" t="str">
        <f>IF(ISERROR(('Oper.St.'!Q320-'Oper.St.'!Q325+'Oper.St.'!Q272)/Liab!Q305),"",IF(('Oper.St.'!Q320-'Oper.St.'!Q325+'Oper.St.'!Q272)/Liab!Q305=0,"",ROUND(('Oper.St.'!Q320-'Oper.St.'!Q325+'Oper.St.'!Q272)/Liab!Q305*100,2)))</f>
        <v/>
      </c>
      <c r="Q442" s="256" t="str">
        <f>IF(ISERROR(('Oper.St.'!R320-'Oper.St.'!R325+'Oper.St.'!R272)/Liab!R305),"",IF(('Oper.St.'!R320-'Oper.St.'!R325+'Oper.St.'!R272)/Liab!R305=0,"",ROUND(('Oper.St.'!R320-'Oper.St.'!R325+'Oper.St.'!R272)/Liab!R305*100,2)))</f>
        <v/>
      </c>
      <c r="R442" s="256" t="str">
        <f>IF(ISERROR(('Oper.St.'!S320-'Oper.St.'!S325+'Oper.St.'!S272)/Liab!S305),"",IF(('Oper.St.'!S320-'Oper.St.'!S325+'Oper.St.'!S272)/Liab!S305=0,"",ROUND(('Oper.St.'!S320-'Oper.St.'!S325+'Oper.St.'!S272)/Liab!S305*100,2)))</f>
        <v/>
      </c>
      <c r="S442" s="256" t="str">
        <f>IF(ISERROR(('Oper.St.'!T320-'Oper.St.'!T325+'Oper.St.'!T272)/Liab!T305),"",IF(('Oper.St.'!T320-'Oper.St.'!T325+'Oper.St.'!T272)/Liab!T305=0,"",ROUND(('Oper.St.'!T320-'Oper.St.'!T325+'Oper.St.'!T272)/Liab!T305*100,2)))</f>
        <v/>
      </c>
      <c r="T442" s="256" t="str">
        <f>IF(ISERROR(('Oper.St.'!U320-'Oper.St.'!U325+'Oper.St.'!U272)/Liab!U305),"",IF(('Oper.St.'!U320-'Oper.St.'!U325+'Oper.St.'!U272)/Liab!U305=0,"",ROUND(('Oper.St.'!U320-'Oper.St.'!U325+'Oper.St.'!U272)/Liab!U305*100,2)))</f>
        <v/>
      </c>
      <c r="U442" s="256" t="str">
        <f>IF(ISERROR(('Oper.St.'!V320-'Oper.St.'!V325+'Oper.St.'!V272)/Liab!V305),"",IF(('Oper.St.'!V320-'Oper.St.'!V325+'Oper.St.'!V272)/Liab!V305=0,"",ROUND(('Oper.St.'!V320-'Oper.St.'!V325+'Oper.St.'!V272)/Liab!V305*100,2)))</f>
        <v/>
      </c>
      <c r="V442" s="612"/>
    </row>
    <row r="443" spans="1:22" ht="42.75" hidden="1" customHeight="1" x14ac:dyDescent="0.2">
      <c r="A443" s="264" t="s">
        <v>441</v>
      </c>
      <c r="B443" s="256" t="str">
        <f>IF(ISERROR((Asset!C265/'Oper.St.'!C248*365)+((Asset!C249+Asset!C300+Asset!C301)/'Oper.St.'!C242*365)),"",IF((Asset!C265/'Oper.St.'!C248*365)+((Asset!C249+Asset!C300+Asset!C301)/'Oper.St.'!C242*365)=0,"",ROUND((Asset!C265/'Oper.St.'!C248*365)+((Asset!C249+Asset!C300+Asset!C301)/'Oper.St.'!C242*365),0)))</f>
        <v/>
      </c>
      <c r="C443" s="256" t="str">
        <f>IF(ISERROR((Asset!D265/'Oper.St.'!D248*365)+((Asset!D249+Asset!D300+Asset!D301)/'Oper.St.'!D242*365)),"",IF((Asset!D265/'Oper.St.'!D248*365)+((Asset!D249+Asset!D300+Asset!D301)/'Oper.St.'!D242*365)=0,"",ROUND((Asset!D265/'Oper.St.'!D248*365)+((Asset!D249+Asset!D300+Asset!D301)/'Oper.St.'!D242*365),0)))</f>
        <v/>
      </c>
      <c r="D443" s="256" t="str">
        <f>IF(ISERROR((Asset!E265/'Oper.St.'!E248*365)+((Asset!E249+Asset!E300+Asset!E301)/'Oper.St.'!E242*365)),"",IF((Asset!E265/'Oper.St.'!E248*365)+((Asset!E249+Asset!E300+Asset!E301)/'Oper.St.'!E242*365)=0,"",ROUND((Asset!E265/'Oper.St.'!E248*365)+((Asset!E249+Asset!E300+Asset!E301)/'Oper.St.'!E242*365),0)))</f>
        <v/>
      </c>
      <c r="E443" s="256" t="str">
        <f>IF(ISERROR((Asset!F265/'Oper.St.'!F248*365)+((Asset!F249+Asset!F300+Asset!F301)/'Oper.St.'!F242*365)),"",IF((Asset!F265/'Oper.St.'!F248*365)+((Asset!F249+Asset!F300+Asset!F301)/'Oper.St.'!F242*365)=0,"",ROUND((Asset!F265/'Oper.St.'!F248*365)+((Asset!F249+Asset!F300+Asset!F301)/'Oper.St.'!F242*365),0)))</f>
        <v/>
      </c>
      <c r="F443" s="256" t="str">
        <f>IF(ISERROR((Asset!G265/'Oper.St.'!G248*365)+((Asset!G249+Asset!G300+Asset!G301)/'Oper.St.'!G242*365)),"",IF((Asset!G265/'Oper.St.'!G248*365)+((Asset!G249+Asset!G300+Asset!G301)/'Oper.St.'!G242*365)=0,"",ROUND((Asset!G265/'Oper.St.'!G248*365)+((Asset!G249+Asset!G300+Asset!G301)/'Oper.St.'!G242*365),0)))</f>
        <v/>
      </c>
      <c r="G443" s="256" t="str">
        <f>IF(ISERROR((Asset!H265/'Oper.St.'!H248*365)+((Asset!H249+Asset!H300+Asset!H301)/'Oper.St.'!H242*365)),"",IF((Asset!H265/'Oper.St.'!H248*365)+((Asset!H249+Asset!H300+Asset!H301)/'Oper.St.'!H242*365)=0,"",ROUND((Asset!H265/'Oper.St.'!H248*365)+((Asset!H249+Asset!H300+Asset!H301)/'Oper.St.'!H242*365),0)))</f>
        <v/>
      </c>
      <c r="H443" s="256" t="str">
        <f>IF(ISERROR((Asset!I265/'Oper.St.'!I248*365)+((Asset!I249+Asset!I300+Asset!I301)/'Oper.St.'!I242*365)),"",IF((Asset!I265/'Oper.St.'!I248*365)+((Asset!I249+Asset!I300+Asset!I301)/'Oper.St.'!I242*365)=0,"",ROUND((Asset!I265/'Oper.St.'!I248*365)+((Asset!I249+Asset!I300+Asset!I301)/'Oper.St.'!I242*365),0)))</f>
        <v/>
      </c>
      <c r="I443" s="256" t="str">
        <f>IF(ISERROR((Asset!J265/'Oper.St.'!J248*365)+((Asset!J249+Asset!J300+Asset!J301)/'Oper.St.'!J242*365)),"",IF((Asset!J265/'Oper.St.'!J248*365)+((Asset!J249+Asset!J300+Asset!J301)/'Oper.St.'!J242*365)=0,"",ROUND((Asset!J265/'Oper.St.'!J248*365)+((Asset!J249+Asset!J300+Asset!J301)/'Oper.St.'!J242*365),0)))</f>
        <v/>
      </c>
      <c r="J443" s="256" t="str">
        <f>IF(ISERROR((Asset!K265/'Oper.St.'!K248*365)+((Asset!K249+Asset!K300+Asset!K301)/'Oper.St.'!K242*365)),"",IF((Asset!K265/'Oper.St.'!K248*365)+((Asset!K249+Asset!K300+Asset!K301)/'Oper.St.'!K242*365)=0,"",ROUND((Asset!K265/'Oper.St.'!K248*365)+((Asset!K249+Asset!K300+Asset!K301)/'Oper.St.'!K242*365),0)))</f>
        <v/>
      </c>
      <c r="K443" s="256" t="str">
        <f>IF(ISERROR((Asset!L265/'Oper.St.'!L248*365)+((Asset!L249+Asset!L300+Asset!L301)/'Oper.St.'!L242*365)),"",IF((Asset!L265/'Oper.St.'!L248*365)+((Asset!L249+Asset!L300+Asset!L301)/'Oper.St.'!L242*365)=0,"",ROUND((Asset!L265/'Oper.St.'!L248*365)+((Asset!L249+Asset!L300+Asset!L301)/'Oper.St.'!L242*365),0)))</f>
        <v/>
      </c>
      <c r="L443" s="256" t="str">
        <f>IF(ISERROR((Asset!M265/'Oper.St.'!M248*365)+((Asset!M249+Asset!M300+Asset!M301)/'Oper.St.'!M242*365)),"",IF((Asset!M265/'Oper.St.'!M248*365)+((Asset!M249+Asset!M300+Asset!M301)/'Oper.St.'!M242*365)=0,"",ROUND((Asset!M265/'Oper.St.'!M248*365)+((Asset!M249+Asset!M300+Asset!M301)/'Oper.St.'!M242*365),0)))</f>
        <v/>
      </c>
      <c r="M443" s="256" t="str">
        <f>IF(ISERROR((Asset!N265/'Oper.St.'!N248*365)+((Asset!N249+Asset!N300+Asset!N301)/'Oper.St.'!N242*365)),"",IF((Asset!N265/'Oper.St.'!N248*365)+((Asset!N249+Asset!N300+Asset!N301)/'Oper.St.'!N242*365)=0,"",ROUND((Asset!N265/'Oper.St.'!N248*365)+((Asset!N249+Asset!N300+Asset!N301)/'Oper.St.'!N242*365),0)))</f>
        <v/>
      </c>
      <c r="N443" s="256" t="str">
        <f>IF(ISERROR((Asset!O265/'Oper.St.'!O248*365)+((Asset!O249+Asset!O300+Asset!O301)/'Oper.St.'!O242*365)),"",IF((Asset!O265/'Oper.St.'!O248*365)+((Asset!O249+Asset!O300+Asset!O301)/'Oper.St.'!O242*365)=0,"",ROUND((Asset!O265/'Oper.St.'!O248*365)+((Asset!O249+Asset!O300+Asset!O301)/'Oper.St.'!O242*365),0)))</f>
        <v/>
      </c>
      <c r="O443" s="256" t="str">
        <f>IF(ISERROR((Asset!P265/'Oper.St.'!P248*365)+((Asset!P249+Asset!P300+Asset!P301)/'Oper.St.'!P242*365)),"",IF((Asset!P265/'Oper.St.'!P248*365)+((Asset!P249+Asset!P300+Asset!P301)/'Oper.St.'!P242*365)=0,"",ROUND((Asset!P265/'Oper.St.'!P248*365)+((Asset!P249+Asset!P300+Asset!P301)/'Oper.St.'!P242*365),0)))</f>
        <v/>
      </c>
      <c r="P443" s="256" t="str">
        <f>IF(ISERROR((Asset!Q265/'Oper.St.'!Q248*365)+((Asset!Q249+Asset!Q300+Asset!Q301)/'Oper.St.'!Q242*365)),"",IF((Asset!Q265/'Oper.St.'!Q248*365)+((Asset!Q249+Asset!Q300+Asset!Q301)/'Oper.St.'!Q242*365)=0,"",ROUND((Asset!Q265/'Oper.St.'!Q248*365)+((Asset!Q249+Asset!Q300+Asset!Q301)/'Oper.St.'!Q242*365),0)))</f>
        <v/>
      </c>
      <c r="Q443" s="256" t="str">
        <f>IF(ISERROR((Asset!R265/'Oper.St.'!R248*365)+((Asset!R249+Asset!R300+Asset!R301)/'Oper.St.'!R242*365)),"",IF((Asset!R265/'Oper.St.'!R248*365)+((Asset!R249+Asset!R300+Asset!R301)/'Oper.St.'!R242*365)=0,"",ROUND((Asset!R265/'Oper.St.'!R248*365)+((Asset!R249+Asset!R300+Asset!R301)/'Oper.St.'!R242*365),0)))</f>
        <v/>
      </c>
      <c r="R443" s="256" t="str">
        <f>IF(ISERROR((Asset!S265/'Oper.St.'!S248*365)+((Asset!S249+Asset!S300+Asset!S301)/'Oper.St.'!S242*365)),"",IF((Asset!S265/'Oper.St.'!S248*365)+((Asset!S249+Asset!S300+Asset!S301)/'Oper.St.'!S242*365)=0,"",ROUND((Asset!S265/'Oper.St.'!S248*365)+((Asset!S249+Asset!S300+Asset!S301)/'Oper.St.'!S242*365),0)))</f>
        <v/>
      </c>
      <c r="S443" s="256" t="str">
        <f>IF(ISERROR((Asset!T265/'Oper.St.'!T248*365)+((Asset!T249+Asset!T300+Asset!T301)/'Oper.St.'!T242*365)),"",IF((Asset!T265/'Oper.St.'!T248*365)+((Asset!T249+Asset!T300+Asset!T301)/'Oper.St.'!T242*365)=0,"",ROUND((Asset!T265/'Oper.St.'!T248*365)+((Asset!T249+Asset!T300+Asset!T301)/'Oper.St.'!T242*365),0)))</f>
        <v/>
      </c>
      <c r="T443" s="256" t="str">
        <f>IF(ISERROR((Asset!U265/'Oper.St.'!U248*365)+((Asset!U249+Asset!U300+Asset!U301)/'Oper.St.'!U242*365)),"",IF((Asset!U265/'Oper.St.'!U248*365)+((Asset!U249+Asset!U300+Asset!U301)/'Oper.St.'!U242*365)=0,"",ROUND((Asset!U265/'Oper.St.'!U248*365)+((Asset!U249+Asset!U300+Asset!U301)/'Oper.St.'!U242*365),0)))</f>
        <v/>
      </c>
      <c r="U443" s="256" t="str">
        <f>IF(ISERROR((Asset!V265/'Oper.St.'!V248*365)+((Asset!V249+Asset!V300+Asset!V301)/'Oper.St.'!V242*365)),"",IF((Asset!V265/'Oper.St.'!V248*365)+((Asset!V249+Asset!V300+Asset!V301)/'Oper.St.'!V242*365)=0,"",ROUND((Asset!V265/'Oper.St.'!V248*365)+((Asset!V249+Asset!V300+Asset!V301)/'Oper.St.'!V242*365),0)))</f>
        <v/>
      </c>
      <c r="V443" s="612"/>
    </row>
    <row r="444" spans="1:22" ht="14.25" hidden="1" customHeight="1" x14ac:dyDescent="0.2">
      <c r="A444" s="265" t="s">
        <v>50</v>
      </c>
      <c r="B444" s="256">
        <f>IF(ISERROR(ROUND(B275,2)),"",ROUND(B275,2))</f>
        <v>0.08</v>
      </c>
      <c r="C444" s="256">
        <f>IF(ISERROR(ROUND(C275,2)),"",ROUND(C275,2))</f>
        <v>0.17</v>
      </c>
      <c r="D444" s="256">
        <f t="shared" ref="D444:U444" si="171">IF(ISERROR(ROUND(D275,2)),"",ROUND(D275,2))</f>
        <v>0.44</v>
      </c>
      <c r="E444" s="256">
        <f t="shared" si="171"/>
        <v>8.57</v>
      </c>
      <c r="F444" s="256">
        <f t="shared" si="171"/>
        <v>11.25</v>
      </c>
      <c r="G444" s="256">
        <f t="shared" si="171"/>
        <v>12.46</v>
      </c>
      <c r="H444" s="256">
        <f t="shared" si="171"/>
        <v>14.11</v>
      </c>
      <c r="I444" s="256">
        <f t="shared" si="171"/>
        <v>15.95</v>
      </c>
      <c r="J444" s="256">
        <f t="shared" si="171"/>
        <v>17.97</v>
      </c>
      <c r="K444" s="256">
        <f t="shared" si="171"/>
        <v>20.190000000000001</v>
      </c>
      <c r="L444" s="256">
        <f t="shared" si="171"/>
        <v>22.74</v>
      </c>
      <c r="M444" s="256">
        <f t="shared" si="171"/>
        <v>12.62</v>
      </c>
      <c r="N444" s="256">
        <f t="shared" si="171"/>
        <v>12.62</v>
      </c>
      <c r="O444" s="256">
        <f t="shared" si="171"/>
        <v>12.62</v>
      </c>
      <c r="P444" s="256">
        <f t="shared" si="171"/>
        <v>12.62</v>
      </c>
      <c r="Q444" s="256">
        <f t="shared" si="171"/>
        <v>12.62</v>
      </c>
      <c r="R444" s="256">
        <f t="shared" si="171"/>
        <v>12.62</v>
      </c>
      <c r="S444" s="256">
        <f t="shared" si="171"/>
        <v>12.62</v>
      </c>
      <c r="T444" s="256">
        <f t="shared" si="171"/>
        <v>12.62</v>
      </c>
      <c r="U444" s="256">
        <f t="shared" si="171"/>
        <v>12.62</v>
      </c>
      <c r="V444" s="612"/>
    </row>
    <row r="445" spans="1:22" ht="28.5" customHeight="1" x14ac:dyDescent="0.2">
      <c r="A445" s="627"/>
      <c r="B445" s="610"/>
      <c r="C445" s="610"/>
      <c r="D445" s="610"/>
      <c r="E445" s="610"/>
      <c r="F445" s="610"/>
      <c r="G445" s="610"/>
      <c r="H445" s="610"/>
      <c r="I445" s="610"/>
      <c r="J445" s="610"/>
      <c r="K445" s="610"/>
      <c r="L445" s="610"/>
      <c r="M445" s="610"/>
      <c r="N445" s="610"/>
      <c r="O445" s="610"/>
      <c r="P445" s="610"/>
      <c r="Q445" s="610"/>
      <c r="R445" s="610"/>
      <c r="S445" s="610"/>
      <c r="T445" s="610"/>
      <c r="U445" s="610"/>
      <c r="V445" s="612"/>
    </row>
  </sheetData>
  <protectedRanges>
    <protectedRange sqref="B85:B86 B307:B308" name="Range3"/>
    <protectedRange sqref="B79:B82 B301:B304" name="Range2"/>
    <protectedRange sqref="B170:U170 B392:U392" name="Range1"/>
  </protectedRanges>
  <mergeCells count="2">
    <mergeCell ref="C2:H2"/>
    <mergeCell ref="C224:H224"/>
  </mergeCells>
  <phoneticPr fontId="0" type="noConversion"/>
  <pageMargins left="0.5" right="0" top="0.5" bottom="0.5" header="0.5" footer="0.5"/>
  <pageSetup orientation="portrait" r:id="rId1"/>
  <headerFooter alignWithMargins="0"/>
  <rowBreaks count="1" manualBreakCount="1">
    <brk id="170"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INTRO</vt:lpstr>
      <vt:lpstr>INPUT</vt:lpstr>
      <vt:lpstr>INTT &amp; REPAY</vt:lpstr>
      <vt:lpstr>DSCR</vt:lpstr>
      <vt:lpstr>Dep</vt:lpstr>
      <vt:lpstr>Oper.St.</vt:lpstr>
      <vt:lpstr>Liab</vt:lpstr>
      <vt:lpstr>Asset</vt:lpstr>
      <vt:lpstr>CRA Validation</vt:lpstr>
      <vt:lpstr>Ratio New</vt:lpstr>
      <vt:lpstr>Fund Flow</vt:lpstr>
      <vt:lpstr>Synopsis</vt:lpstr>
      <vt:lpstr>ROCC</vt:lpstr>
      <vt:lpstr>Cash Flow</vt:lpstr>
      <vt:lpstr>Sensitivity</vt:lpstr>
      <vt:lpstr>SEASONAL</vt:lpstr>
      <vt:lpstr>LIMITS</vt:lpstr>
      <vt:lpstr>EPC-LC-BG</vt:lpstr>
      <vt:lpstr>CEL</vt:lpstr>
      <vt:lpstr>MISC</vt:lpstr>
    </vt:vector>
  </TitlesOfParts>
  <Company>state bank of india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pradeep gupta</dc:creator>
  <cp:lastModifiedBy>PRADEEP</cp:lastModifiedBy>
  <cp:lastPrinted>2012-10-14T16:15:52Z</cp:lastPrinted>
  <dcterms:created xsi:type="dcterms:W3CDTF">2008-03-24T07:39:21Z</dcterms:created>
  <dcterms:modified xsi:type="dcterms:W3CDTF">2023-01-27T12:15:04Z</dcterms:modified>
</cp:coreProperties>
</file>